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64011"/>
  <mc:AlternateContent xmlns:mc="http://schemas.openxmlformats.org/markup-compatibility/2006">
    <mc:Choice Requires="x15">
      <x15ac:absPath xmlns:x15ac="http://schemas.microsoft.com/office/spreadsheetml/2010/11/ac" url="C:\Users\Public\ОБЩАЯ ПАПКА\Общее собрание\ОСС 2022\ОЮЗ\ОЮЗ конечное\"/>
    </mc:Choice>
  </mc:AlternateContent>
  <bookViews>
    <workbookView xWindow="0" yWindow="0" windowWidth="28800" windowHeight="12510" activeTab="1"/>
  </bookViews>
  <sheets>
    <sheet name="Тарифы для ОСС_жилье" sheetId="1" r:id="rId1"/>
    <sheet name="Тарифы для ОСС_нежилье" sheetId="2" r:id="rId2"/>
    <sheet name="Разъяснения" sheetId="4" r:id="rId3"/>
    <sheet name="Лифты_формула" sheetId="8" state="hidden" r:id="rId4"/>
    <sheet name="Лифты_расходы" sheetId="10" r:id="rId5"/>
  </sheets>
  <externalReferences>
    <externalReference r:id="rId6"/>
  </externalReferences>
  <definedNames>
    <definedName name="\эвфзкудк" hidden="1">#REF!,#REF!,#REF!</definedName>
    <definedName name="csDesignMode">1</definedName>
    <definedName name="EUR_C">#REF!</definedName>
    <definedName name="EUR_O">#REF!</definedName>
    <definedName name="Excel_BuiltIn_Print_Area">#REF!</definedName>
    <definedName name="f" localSheetId="0" hidden="1">#REF!,#REF!,#REF!</definedName>
    <definedName name="f" localSheetId="1" hidden="1">#REF!,#REF!,#REF!</definedName>
    <definedName name="f" hidden="1">#REF!,#REF!,#REF!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localSheetId="0" hidden="1">#REF!,#REF!</definedName>
    <definedName name="Z_0885457D_12CF_4923_864D_998BA35CE01D_.wvu.Cols" localSheetId="1" hidden="1">#REF!,#REF!</definedName>
    <definedName name="Z_0885457D_12CF_4923_864D_998BA35CE01D_.wvu.Cols" hidden="1">#REF!,#REF!</definedName>
    <definedName name="Z_0885457D_12CF_4923_864D_998BA35CE01D_.wvu.Rows" localSheetId="0" hidden="1">#REF!,#REF!,#REF!</definedName>
    <definedName name="Z_0885457D_12CF_4923_864D_998BA35CE01D_.wvu.Rows" localSheetId="1" hidden="1">#REF!,#REF!,#REF!</definedName>
    <definedName name="Z_0885457D_12CF_4923_864D_998BA35CE01D_.wvu.Rows" hidden="1">#REF!,#REF!,#REF!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localSheetId="0" hidden="1">#REF!,#REF!</definedName>
    <definedName name="Z_144EA558_4B8B_4239_858D_3D3B320E64FA_.wvu.Cols" localSheetId="1" hidden="1">#REF!,#REF!</definedName>
    <definedName name="Z_144EA558_4B8B_4239_858D_3D3B320E64FA_.wvu.Cols" hidden="1">#REF!,#REF!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08" hidden="1">#REF!,#REF!</definedName>
    <definedName name="аа">#REF!</definedName>
    <definedName name="ааа">#REF!</definedName>
    <definedName name="авг" hidden="1">#REF!,#REF!,#REF!</definedName>
    <definedName name="Август" localSheetId="0" hidden="1">#REF!,#REF!</definedName>
    <definedName name="Август" localSheetId="1" hidden="1">#REF!,#REF!</definedName>
    <definedName name="Август" hidden="1">#REF!,#REF!</definedName>
    <definedName name="август13" hidden="1">#REF!,#REF!</definedName>
    <definedName name="август2013">#REF!</definedName>
    <definedName name="ае6н6" hidden="1">#REF!,#REF!</definedName>
    <definedName name="аклело" hidden="1">#REF!,#REF!,#REF!</definedName>
    <definedName name="апяавп" hidden="1">#REF!,#REF!,#REF!</definedName>
    <definedName name="АУП_01">#REF!</definedName>
    <definedName name="БДР_12" hidden="1">#REF!,#REF!</definedName>
    <definedName name="БДР_2011">#REF!</definedName>
    <definedName name="ваперл" localSheetId="0" hidden="1">#REF!,#REF!,#REF!</definedName>
    <definedName name="ваперл" localSheetId="1" hidden="1">#REF!,#REF!,#REF!</definedName>
    <definedName name="ваперл" hidden="1">#REF!,#REF!,#REF!</definedName>
    <definedName name="варш">#REF!</definedName>
    <definedName name="впива">#REF!</definedName>
    <definedName name="газ">#REF!</definedName>
    <definedName name="Евро">[1]плат.календарь!#REF!</definedName>
    <definedName name="еееееее" hidden="1">#REF!</definedName>
    <definedName name="ено">#REF!</definedName>
    <definedName name="еуек" hidden="1">#REF!,#REF!</definedName>
    <definedName name="ж58545">#REF!</definedName>
    <definedName name="жадпо" hidden="1">#REF!,#REF!,#REF!</definedName>
    <definedName name="жз" hidden="1">#REF!,#REF!</definedName>
    <definedName name="има" hidden="1">#REF!,#REF!,#REF!</definedName>
    <definedName name="Иностранцы" hidden="1">#REF!,#REF!</definedName>
    <definedName name="ипрне">#REF!</definedName>
    <definedName name="ЙЦУц" hidden="1">#REF!,#REF!,#REF!</definedName>
    <definedName name="ккк">#REF!</definedName>
    <definedName name="лазурное" localSheetId="0">#REF!</definedName>
    <definedName name="лазурное" localSheetId="1">#REF!</definedName>
    <definedName name="лазурное">#REF!</definedName>
    <definedName name="лллл" hidden="1">#REF!,#REF!,#REF!</definedName>
    <definedName name="лог">#REF!</definedName>
    <definedName name="МАЙ">#REF!</definedName>
    <definedName name="мир" localSheetId="0">#REF!</definedName>
    <definedName name="мир" localSheetId="1">#REF!</definedName>
    <definedName name="мир">#REF!</definedName>
    <definedName name="монблан" localSheetId="0" hidden="1">#REF!,#REF!,#REF!</definedName>
    <definedName name="монблан" localSheetId="1" hidden="1">#REF!,#REF!,#REF!</definedName>
    <definedName name="монблан" hidden="1">#REF!,#REF!,#REF!</definedName>
    <definedName name="НДС">#REF!</definedName>
    <definedName name="новый" hidden="1">#REF!,#REF!,#REF!</definedName>
    <definedName name="о" hidden="1">#REF!,#REF!,#REF!</definedName>
    <definedName name="оаош">#REF!</definedName>
    <definedName name="_xlnm.Print_Area" localSheetId="0">'Тарифы для ОСС_жилье'!$A$1:$F$27</definedName>
    <definedName name="_xlnm.Print_Area" localSheetId="1">'Тарифы для ОСС_нежилье'!$A$1:$F$22</definedName>
    <definedName name="_xlnm.Print_Area">#REF!</definedName>
    <definedName name="объектымай" hidden="1">#REF!,#REF!</definedName>
    <definedName name="ооргшн" hidden="1">#REF!,#REF!</definedName>
    <definedName name="орш8789" hidden="1">#REF!,#REF!,#REF!</definedName>
    <definedName name="пмарплго" hidden="1">#REF!,#REF!</definedName>
    <definedName name="порт" localSheetId="0" hidden="1">#REF!,#REF!,#REF!</definedName>
    <definedName name="порт" localSheetId="1" hidden="1">#REF!,#REF!,#REF!</definedName>
    <definedName name="порт" hidden="1">#REF!,#REF!,#REF!</definedName>
    <definedName name="ппп" localSheetId="4">#REF!</definedName>
    <definedName name="ппп" localSheetId="0">#REF!</definedName>
    <definedName name="ппп" localSheetId="1">#REF!</definedName>
    <definedName name="ппп">#REF!</definedName>
    <definedName name="пр" hidden="1">#REF!,#REF!,#REF!</definedName>
    <definedName name="пулковская">#REF!</definedName>
    <definedName name="рол" localSheetId="0" hidden="1">#REF!,#REF!,#REF!</definedName>
    <definedName name="рол" localSheetId="1" hidden="1">#REF!,#REF!,#REF!</definedName>
    <definedName name="рол" hidden="1">#REF!,#REF!,#REF!</definedName>
    <definedName name="ролд" localSheetId="0" hidden="1">#REF!,#REF!</definedName>
    <definedName name="ролд" localSheetId="1" hidden="1">#REF!,#REF!</definedName>
    <definedName name="ролд" hidden="1">#REF!,#REF!</definedName>
    <definedName name="ррррр" hidden="1">#REF!</definedName>
    <definedName name="срочные">[1]плат.календарь!#REF!</definedName>
    <definedName name="тося">#REF!</definedName>
    <definedName name="ф">#REF!</definedName>
    <definedName name="ФОТобъектымай" hidden="1">#REF!,#REF!</definedName>
    <definedName name="фуыку" hidden="1">#REF!,#REF!,#REF!</definedName>
    <definedName name="фя\кк" hidden="1">#REF!,#REF!,#REF!</definedName>
    <definedName name="х_265" localSheetId="0" hidden="1">#REF!,#REF!,#REF!</definedName>
    <definedName name="х_265" localSheetId="1" hidden="1">#REF!,#REF!,#REF!</definedName>
    <definedName name="х_265" hidden="1">#REF!,#REF!,#REF!</definedName>
    <definedName name="хзщзш" hidden="1">#REF!,#REF!,#REF!</definedName>
    <definedName name="цквв">#REF!</definedName>
    <definedName name="щзэ" hidden="1">#REF!</definedName>
    <definedName name="эжзд">#REF!</definedName>
    <definedName name="юз" localSheetId="0" hidden="1">#REF!,#REF!,#REF!</definedName>
    <definedName name="юз" localSheetId="1" hidden="1">#REF!,#REF!,#REF!</definedName>
    <definedName name="юз" hidden="1">#REF!,#REF!,#REF!</definedName>
    <definedName name="ЮЗ13" hidden="1">#REF!,#REF!</definedName>
    <definedName name="ююююююююююююю">#REF!</definedName>
    <definedName name="ЯНВАРЬ" localSheetId="0" hidden="1">#REF!,#REF!</definedName>
    <definedName name="ЯНВАРЬ" localSheetId="1" hidden="1">#REF!,#REF!</definedName>
    <definedName name="ЯНВАРЬ" hidden="1">#REF!,#REF!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E9" i="1"/>
  <c r="F13" i="10" l="1"/>
  <c r="E13" i="10"/>
  <c r="D13" i="10"/>
  <c r="B6" i="10"/>
  <c r="G13" i="10" l="1"/>
  <c r="I13" i="10" l="1"/>
  <c r="L13" i="10" s="1"/>
  <c r="H13" i="10"/>
  <c r="K13" i="10" l="1"/>
  <c r="B25" i="4"/>
  <c r="B23" i="4"/>
  <c r="E17" i="4"/>
  <c r="D17" i="4"/>
  <c r="C35" i="4"/>
  <c r="E46" i="8" l="1"/>
  <c r="E44" i="8"/>
  <c r="E40" i="8"/>
  <c r="E39" i="8"/>
  <c r="E32" i="8"/>
  <c r="E31" i="8"/>
  <c r="E24" i="8"/>
  <c r="E23" i="8"/>
  <c r="E16" i="8"/>
  <c r="E15" i="8"/>
  <c r="B7" i="8"/>
  <c r="C44" i="4"/>
  <c r="J18" i="4"/>
  <c r="J17" i="4"/>
  <c r="F17" i="4"/>
  <c r="F18" i="4"/>
  <c r="E41" i="8" l="1"/>
  <c r="E25" i="8"/>
  <c r="E17" i="8"/>
  <c r="E33" i="8"/>
  <c r="C18" i="4"/>
  <c r="E18" i="4" s="1"/>
  <c r="N23" i="4"/>
  <c r="N22" i="4"/>
  <c r="K18" i="4" l="1"/>
  <c r="N24" i="4"/>
  <c r="G18" i="4" l="1"/>
  <c r="H18" i="4" s="1"/>
  <c r="I18" i="4" l="1"/>
  <c r="N18" i="4" s="1"/>
  <c r="O18" i="4" l="1"/>
  <c r="P18" i="4" l="1"/>
  <c r="Q18" i="4"/>
  <c r="D25" i="4"/>
  <c r="E25" i="4" s="1"/>
  <c r="C25" i="4"/>
  <c r="E23" i="4"/>
  <c r="C38" i="4"/>
  <c r="C39" i="4"/>
  <c r="T18" i="4" l="1"/>
  <c r="S18" i="4"/>
  <c r="C34" i="4"/>
  <c r="C33" i="4"/>
  <c r="C32" i="4"/>
  <c r="C31" i="4"/>
  <c r="L14" i="4"/>
  <c r="L15" i="4"/>
  <c r="K11" i="4"/>
  <c r="E14" i="4"/>
  <c r="E15" i="4"/>
  <c r="G14" i="4" l="1"/>
  <c r="H14" i="4" s="1"/>
  <c r="I14" i="4" s="1"/>
  <c r="M17" i="4"/>
  <c r="C37" i="4"/>
  <c r="C36" i="4"/>
  <c r="L17" i="4"/>
  <c r="K17" i="4"/>
  <c r="G17" i="4"/>
  <c r="L13" i="4"/>
  <c r="E13" i="4"/>
  <c r="G13" i="4" s="1"/>
  <c r="L12" i="4"/>
  <c r="E12" i="4"/>
  <c r="L11" i="4"/>
  <c r="E11" i="4"/>
  <c r="H11" i="4" s="1"/>
  <c r="B6" i="4"/>
  <c r="I11" i="4" l="1"/>
  <c r="H17" i="4"/>
  <c r="C40" i="4"/>
  <c r="M11" i="4" s="1"/>
  <c r="F25" i="4"/>
  <c r="H13" i="4"/>
  <c r="I13" i="4" s="1"/>
  <c r="F23" i="4"/>
  <c r="G15" i="4"/>
  <c r="H15" i="4" s="1"/>
  <c r="I15" i="4" s="1"/>
  <c r="G12" i="4"/>
  <c r="H12" i="4" s="1"/>
  <c r="G23" i="4" l="1"/>
  <c r="H23" i="4"/>
  <c r="I17" i="4"/>
  <c r="N17" i="4" s="1"/>
  <c r="G25" i="4"/>
  <c r="O24" i="4" s="1"/>
  <c r="I12" i="4"/>
  <c r="N11" i="4" s="1"/>
  <c r="O22" i="4" l="1"/>
  <c r="P22" i="4" s="1"/>
  <c r="O23" i="4"/>
  <c r="P23" i="4" s="1"/>
  <c r="O17" i="4"/>
  <c r="P17" i="4" s="1"/>
  <c r="O11" i="4"/>
  <c r="K23" i="4"/>
  <c r="J23" i="4"/>
  <c r="F16" i="2"/>
  <c r="F17" i="2"/>
  <c r="G17" i="2"/>
  <c r="G16" i="2"/>
  <c r="F18" i="1"/>
  <c r="F19" i="1"/>
  <c r="G19" i="1"/>
  <c r="G18" i="1"/>
  <c r="Q17" i="4" l="1"/>
  <c r="R23" i="4"/>
  <c r="S23" i="4"/>
  <c r="R22" i="4"/>
  <c r="S22" i="4"/>
  <c r="S17" i="4"/>
  <c r="P11" i="4"/>
  <c r="Q11" i="4" s="1"/>
  <c r="F11" i="2"/>
  <c r="G11" i="2"/>
  <c r="F12" i="2"/>
  <c r="G12" i="2"/>
  <c r="F13" i="2"/>
  <c r="G13" i="2"/>
  <c r="F14" i="2"/>
  <c r="G14" i="2"/>
  <c r="F15" i="2"/>
  <c r="G15" i="2"/>
  <c r="F18" i="2"/>
  <c r="G18" i="2"/>
  <c r="F20" i="2"/>
  <c r="G20" i="2"/>
  <c r="F22" i="2"/>
  <c r="G22" i="2"/>
  <c r="D9" i="2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20" i="1"/>
  <c r="G20" i="1"/>
  <c r="F21" i="1"/>
  <c r="G21" i="1"/>
  <c r="F22" i="1"/>
  <c r="G22" i="1"/>
  <c r="F24" i="1"/>
  <c r="G24" i="1"/>
  <c r="F26" i="1"/>
  <c r="G26" i="1"/>
  <c r="F27" i="1"/>
  <c r="G27" i="1"/>
  <c r="D9" i="1"/>
  <c r="C7" i="2"/>
  <c r="T17" i="4" l="1"/>
  <c r="S11" i="4"/>
  <c r="T11" i="4"/>
  <c r="F23" i="1" l="1"/>
  <c r="G23" i="1"/>
  <c r="F19" i="2"/>
  <c r="G19" i="2"/>
  <c r="G9" i="1"/>
  <c r="F10" i="1"/>
  <c r="G10" i="1"/>
  <c r="F10" i="2"/>
  <c r="G10" i="2"/>
  <c r="G9" i="2" l="1"/>
  <c r="F9" i="2"/>
  <c r="F9" i="1"/>
</calcChain>
</file>

<file path=xl/sharedStrings.xml><?xml version="1.0" encoding="utf-8"?>
<sst xmlns="http://schemas.openxmlformats.org/spreadsheetml/2006/main" count="221" uniqueCount="118">
  <si>
    <t>Общество с ограниченной ответственностью</t>
  </si>
  <si>
    <t>УК "Космосервис Юго-Запад"</t>
  </si>
  <si>
    <t>для владельцев жилых помещений дома №17 по Петергофскому шоссе</t>
  </si>
  <si>
    <t xml:space="preserve"> Площадь- 37415,20</t>
  </si>
  <si>
    <t>Наименование</t>
  </si>
  <si>
    <t>Ед. измерения (в месяц)</t>
  </si>
  <si>
    <t>I</t>
  </si>
  <si>
    <t>Содержание и ремонт жилого помещения</t>
  </si>
  <si>
    <t>руб./кв.м</t>
  </si>
  <si>
    <t>руб. /кв.м</t>
  </si>
  <si>
    <t>руб. /отвод</t>
  </si>
  <si>
    <t xml:space="preserve"> УК“Космосервис Юго-Запад”</t>
  </si>
  <si>
    <t>ФОТ эл., сант., управл. Пом, мат сэ</t>
  </si>
  <si>
    <t>для владельцев нежилых помещений дома № 17  по Петергофскому шоссе</t>
  </si>
  <si>
    <t>Содержание и ремонт нежилого помещения</t>
  </si>
  <si>
    <t>Тариф действующий</t>
  </si>
  <si>
    <t>Тариф новый</t>
  </si>
  <si>
    <t>Отклонение, руб./кв.м.</t>
  </si>
  <si>
    <t>Отклонение, %</t>
  </si>
  <si>
    <t>Текущий ремонт общего имущества многоквартирного дома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</si>
  <si>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</si>
  <si>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</si>
  <si>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</si>
  <si>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 xml:space="preserve">Сервисное обслуживание систем автоматической противопожарной защиты </t>
  </si>
  <si>
    <t xml:space="preserve">Сервисное обслуживание объединённых диспетчерских систем </t>
  </si>
  <si>
    <t>Эксплуатация коллективных приборов учета электрической энергии</t>
  </si>
  <si>
    <t xml:space="preserve">Эксплуатация коллективных приборов учета тепловой энергии и горячей воды, оборудования ИТП </t>
  </si>
  <si>
    <t>Эксплуатация коллективных приборов учета холодной воды</t>
  </si>
  <si>
    <t>Сервисное обслуживание, освидетельствование, страхование лифтов</t>
  </si>
  <si>
    <t>Управление многоквартирным домом</t>
  </si>
  <si>
    <t>Служба консьерж-сервис</t>
  </si>
  <si>
    <t>Аварийно-диспетчерская служба</t>
  </si>
  <si>
    <t>Сервисное обслуживание систем экстренного оповещения</t>
  </si>
  <si>
    <t>Обслуживание системы коллективного приёма телевидения</t>
  </si>
  <si>
    <t>Резервный фонд собственников</t>
  </si>
  <si>
    <t>Содержание общего имущества многоквартирного дома</t>
  </si>
  <si>
    <t>Сервисное обслуживание системы видеонаблюдения</t>
  </si>
  <si>
    <t>жилье</t>
  </si>
  <si>
    <t>нежилье</t>
  </si>
  <si>
    <t>паркинг</t>
  </si>
  <si>
    <t>Площадь: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</si>
  <si>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</si>
  <si>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</si>
  <si>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</si>
  <si>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</si>
  <si>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</si>
  <si>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</si>
  <si>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</si>
  <si>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</si>
  <si>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</si>
  <si>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</si>
  <si>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</si>
  <si>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</si>
  <si>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</si>
  <si>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</si>
  <si>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</si>
  <si>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</si>
  <si>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</si>
  <si>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</si>
  <si>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</si>
  <si>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</si>
  <si>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</si>
  <si>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</si>
  <si>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</si>
  <si>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</si>
  <si>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Сумма по договору с клининговой компанией, руб.</t>
  </si>
  <si>
    <t xml:space="preserve">Материалы для весенних работ, руб. </t>
  </si>
  <si>
    <t>Услуги мех.уборки и вывоза снега, руб.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</si>
  <si>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</si>
  <si>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</si>
  <si>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</si>
  <si>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</si>
  <si>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</si>
  <si>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</si>
  <si>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</si>
  <si>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</si>
  <si>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</si>
  <si>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Праздничные украшения</t>
  </si>
  <si>
    <t>Итого расходы</t>
  </si>
  <si>
    <t>Расходы на услуги связи</t>
  </si>
  <si>
    <t>Аренда офисных помещений</t>
  </si>
  <si>
    <t>Доходы по старым тарифам, руб.</t>
  </si>
  <si>
    <t>Расходы, руб.</t>
  </si>
  <si>
    <t>Отклонение, руб.</t>
  </si>
  <si>
    <t xml:space="preserve">жилье </t>
  </si>
  <si>
    <t>Консьерж</t>
  </si>
  <si>
    <t>Площадь, м2:</t>
  </si>
  <si>
    <t>кол-во лифтов</t>
  </si>
  <si>
    <t>этажность</t>
  </si>
  <si>
    <t>грузоподъемность</t>
  </si>
  <si>
    <t>скорость движения</t>
  </si>
  <si>
    <t>Лифт грузопассажирский</t>
  </si>
  <si>
    <t>автостоянка</t>
  </si>
  <si>
    <t>Лифт пассажирский</t>
  </si>
  <si>
    <t>Площадь первых этажей, м2</t>
  </si>
  <si>
    <t>Базовая ставка, руб./лифт</t>
  </si>
  <si>
    <t>Коф-т</t>
  </si>
  <si>
    <t xml:space="preserve">Кол-во лифтов в доме </t>
  </si>
  <si>
    <t>Этажность</t>
  </si>
  <si>
    <t>Тех.обслуживание лифтов, включая ежегодное страхование, диагностику, руб.</t>
  </si>
  <si>
    <t>Итого стоимость обслуживания лифтов, страхование, диагностика, руб.</t>
  </si>
  <si>
    <t>Тариф, руб./м2</t>
  </si>
  <si>
    <t>Распоряжение Комитета по тарифам СПб № 145-р от 29.11.2021 (с 01.01.2022 по 30.06.2022)</t>
  </si>
  <si>
    <t>Лифты грузопассажирские - грузоподъемность 1000 кг, этажность 25</t>
  </si>
  <si>
    <t>Лифты грузопассажирские - грузоподъемность 1000 кг, этажность 16</t>
  </si>
  <si>
    <t>Лифты пассажирские - грузоподъемность 400 кг, этажность 25</t>
  </si>
  <si>
    <t>Лифты пассажирские - грузоподъемность 400 кг, этажность 16</t>
  </si>
  <si>
    <t>Объект</t>
  </si>
  <si>
    <t>Фирма, обслуживающая лифтовое оборудование</t>
  </si>
  <si>
    <t>Количество лифтов</t>
  </si>
  <si>
    <t>Тариф новый, руб./м2</t>
  </si>
  <si>
    <t>Диагностика</t>
  </si>
  <si>
    <t>Страхование</t>
  </si>
  <si>
    <t>Т/о, с подъемниками</t>
  </si>
  <si>
    <t xml:space="preserve">Петергофское </t>
  </si>
  <si>
    <t>РСК Сервис</t>
  </si>
  <si>
    <t>Размер платы, тарифы и цены на услуги по содержанию, техническому обслуживанию и управлению, применяемые с 01.03.2023 года</t>
  </si>
  <si>
    <t>Приложение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</si>
</sst>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color indexed="9"/>
      <name val="Calibri"/>
      <family val="2"/>
      <charset val="204"/>
    </font>
    <font>
      <b/>
      <sz val="16"/>
      <color indexed="10"/>
      <name val="Calibri"/>
      <family val="2"/>
      <charset val="204"/>
    </font>
    <font>
      <b/>
      <i/>
      <sz val="14"/>
      <color indexed="8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0"/>
      <name val="Arial Cyr"/>
      <charset val="204"/>
    </font>
    <font>
      <b/>
      <i/>
      <sz val="9"/>
      <color indexed="8"/>
      <name val="Arial"/>
      <family val="2"/>
      <charset val="204"/>
    </font>
    <font>
      <sz val="11"/>
      <color indexed="8"/>
      <name val="Symbol"/>
      <family val="1"/>
      <charset val="2"/>
    </font>
    <font>
      <i/>
      <sz val="11"/>
      <name val="Arial"/>
      <family val="2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i/>
      <sz val="11"/>
      <color indexed="8"/>
      <name val="Arial"/>
      <family val="2"/>
      <charset val="204"/>
    </font>
    <font>
      <b/>
      <i/>
      <sz val="11"/>
      <color indexed="8"/>
      <name val="Calibri"/>
      <family val="2"/>
      <charset val="204"/>
    </font>
    <font>
      <b/>
      <i/>
      <sz val="12"/>
      <color indexed="64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i/>
      <sz val="16"/>
      <color theme="1"/>
      <name val="Arial"/>
      <family val="2"/>
      <charset val="204"/>
    </font>
    <font>
      <sz val="10"/>
      <color theme="1"/>
      <name val="Arial Cy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2" fillId="0" borderId="0"/>
    <xf numFmtId="0" fontId="15" fillId="0" borderId="0"/>
    <xf numFmtId="0" fontId="32" fillId="0" borderId="0"/>
    <xf numFmtId="0" fontId="15" fillId="0" borderId="0"/>
    <xf numFmtId="0" fontId="32" fillId="0" borderId="0"/>
    <xf numFmtId="0" fontId="15" fillId="0" borderId="0"/>
    <xf numFmtId="0" fontId="41" fillId="0" borderId="0"/>
    <xf numFmtId="0" fontId="42" fillId="0" borderId="0"/>
    <xf numFmtId="0" fontId="2" fillId="0" borderId="0"/>
    <xf numFmtId="0" fontId="1" fillId="0" borderId="0"/>
    <xf numFmtId="0" fontId="1" fillId="0" borderId="0"/>
  </cellStyleXfs>
  <cellXfs count="256">
    <xf numFmtId="0" fontId="0" fillId="0" borderId="0" xfId="0"/>
    <xf numFmtId="0" fontId="3" fillId="0" borderId="0" xfId="1" applyBorder="1"/>
    <xf numFmtId="0" fontId="3" fillId="0" borderId="0" xfId="1" applyFill="1" applyBorder="1" applyAlignment="1">
      <alignment vertical="center"/>
    </xf>
    <xf numFmtId="0" fontId="3" fillId="0" borderId="0" xfId="1" applyFill="1" applyBorder="1"/>
    <xf numFmtId="0" fontId="4" fillId="0" borderId="0" xfId="1" applyFont="1" applyBorder="1"/>
    <xf numFmtId="0" fontId="5" fillId="0" borderId="0" xfId="1" applyFont="1" applyBorder="1" applyAlignment="1">
      <alignment horizontal="left"/>
    </xf>
    <xf numFmtId="0" fontId="6" fillId="0" borderId="0" xfId="1" applyFont="1"/>
    <xf numFmtId="0" fontId="7" fillId="0" borderId="0" xfId="1" applyFont="1" applyBorder="1"/>
    <xf numFmtId="0" fontId="9" fillId="0" borderId="0" xfId="1" applyFont="1" applyFill="1" applyBorder="1" applyAlignment="1">
      <alignment horizontal="right"/>
    </xf>
    <xf numFmtId="0" fontId="6" fillId="0" borderId="0" xfId="1" applyFont="1" applyBorder="1"/>
    <xf numFmtId="4" fontId="3" fillId="0" borderId="0" xfId="1" applyNumberFormat="1" applyFill="1" applyBorder="1" applyAlignment="1">
      <alignment vertical="center"/>
    </xf>
    <xf numFmtId="0" fontId="11" fillId="2" borderId="2" xfId="1" applyFont="1" applyFill="1" applyBorder="1" applyAlignment="1">
      <alignment horizontal="center" vertical="center" wrapText="1"/>
    </xf>
    <xf numFmtId="2" fontId="14" fillId="0" borderId="2" xfId="1" applyNumberFormat="1" applyFont="1" applyFill="1" applyBorder="1" applyAlignment="1">
      <alignment horizontal="center" vertical="center" wrapText="1"/>
    </xf>
    <xf numFmtId="0" fontId="4" fillId="0" borderId="0" xfId="1" applyFont="1"/>
    <xf numFmtId="0" fontId="3" fillId="0" borderId="0" xfId="1"/>
    <xf numFmtId="0" fontId="6" fillId="0" borderId="0" xfId="1" applyFont="1" applyAlignment="1">
      <alignment vertical="center"/>
    </xf>
    <xf numFmtId="0" fontId="3" fillId="0" borderId="0" xfId="1" applyAlignment="1">
      <alignment vertical="center"/>
    </xf>
    <xf numFmtId="0" fontId="18" fillId="0" borderId="2" xfId="1" applyFont="1" applyBorder="1" applyAlignment="1">
      <alignment horizontal="left" vertical="center" wrapText="1"/>
    </xf>
    <xf numFmtId="0" fontId="6" fillId="0" borderId="0" xfId="1" applyFont="1" applyFill="1"/>
    <xf numFmtId="0" fontId="3" fillId="0" borderId="0" xfId="1" applyFill="1"/>
    <xf numFmtId="2" fontId="11" fillId="2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 wrapText="1"/>
    </xf>
    <xf numFmtId="0" fontId="3" fillId="0" borderId="0" xfId="1" applyFill="1" applyAlignment="1">
      <alignment vertical="center"/>
    </xf>
    <xf numFmtId="0" fontId="20" fillId="0" borderId="0" xfId="1" applyFont="1"/>
    <xf numFmtId="0" fontId="14" fillId="0" borderId="2" xfId="1" applyFont="1" applyFill="1" applyBorder="1" applyAlignment="1">
      <alignment horizontal="center" vertical="center" wrapText="1"/>
    </xf>
    <xf numFmtId="0" fontId="23" fillId="0" borderId="0" xfId="1" applyFont="1"/>
    <xf numFmtId="0" fontId="6" fillId="0" borderId="0" xfId="1" applyFont="1" applyFill="1" applyBorder="1"/>
    <xf numFmtId="0" fontId="14" fillId="0" borderId="0" xfId="1" applyFont="1" applyFill="1" applyBorder="1" applyAlignment="1">
      <alignment horizontal="center" vertical="center" wrapText="1"/>
    </xf>
    <xf numFmtId="4" fontId="11" fillId="2" borderId="2" xfId="1" applyNumberFormat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3" fillId="0" borderId="0" xfId="1" applyFont="1" applyFill="1"/>
    <xf numFmtId="0" fontId="1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24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wrapText="1"/>
    </xf>
    <xf numFmtId="0" fontId="12" fillId="0" borderId="2" xfId="1" applyFont="1" applyBorder="1" applyAlignment="1">
      <alignment horizontal="center" wrapText="1"/>
    </xf>
    <xf numFmtId="0" fontId="16" fillId="0" borderId="2" xfId="1" applyFont="1" applyBorder="1" applyAlignment="1">
      <alignment horizontal="center" wrapText="1"/>
    </xf>
    <xf numFmtId="0" fontId="10" fillId="0" borderId="2" xfId="1" applyFont="1" applyBorder="1" applyAlignment="1">
      <alignment horizontal="center" vertical="center" wrapText="1"/>
    </xf>
    <xf numFmtId="0" fontId="13" fillId="0" borderId="2" xfId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horizontal="center" vertical="center" wrapText="1"/>
    </xf>
    <xf numFmtId="0" fontId="4" fillId="0" borderId="0" xfId="1" applyFont="1" applyFill="1"/>
    <xf numFmtId="0" fontId="3" fillId="0" borderId="0" xfId="1" applyFont="1"/>
    <xf numFmtId="0" fontId="25" fillId="0" borderId="3" xfId="1" applyFont="1" applyBorder="1" applyAlignment="1">
      <alignment horizontal="center" wrapText="1"/>
    </xf>
    <xf numFmtId="0" fontId="17" fillId="0" borderId="0" xfId="1" applyFont="1" applyBorder="1" applyAlignment="1">
      <alignment horizontal="left" vertical="center" wrapText="1"/>
    </xf>
    <xf numFmtId="2" fontId="14" fillId="0" borderId="0" xfId="1" applyNumberFormat="1" applyFont="1" applyFill="1" applyBorder="1" applyAlignment="1">
      <alignment horizontal="center" vertical="center" wrapText="1"/>
    </xf>
    <xf numFmtId="0" fontId="14" fillId="0" borderId="2" xfId="1" applyFont="1" applyBorder="1" applyAlignment="1">
      <alignment horizontal="center" wrapText="1"/>
    </xf>
    <xf numFmtId="0" fontId="25" fillId="0" borderId="2" xfId="1" applyFont="1" applyBorder="1" applyAlignment="1">
      <alignment horizontal="center" wrapText="1"/>
    </xf>
    <xf numFmtId="0" fontId="14" fillId="0" borderId="2" xfId="1" applyFont="1" applyBorder="1" applyAlignment="1">
      <alignment vertical="center" wrapText="1"/>
    </xf>
    <xf numFmtId="0" fontId="31" fillId="0" borderId="0" xfId="4" applyFont="1"/>
    <xf numFmtId="0" fontId="27" fillId="0" borderId="0" xfId="4" applyFont="1" applyAlignment="1">
      <alignment horizontal="center" vertical="center" wrapText="1"/>
    </xf>
    <xf numFmtId="0" fontId="26" fillId="0" borderId="0" xfId="4" applyFont="1"/>
    <xf numFmtId="0" fontId="32" fillId="0" borderId="0" xfId="4"/>
    <xf numFmtId="0" fontId="27" fillId="0" borderId="0" xfId="4" applyFont="1"/>
    <xf numFmtId="4" fontId="27" fillId="0" borderId="0" xfId="4" applyNumberFormat="1" applyFont="1" applyFill="1" applyAlignment="1">
      <alignment horizontal="left"/>
    </xf>
    <xf numFmtId="4" fontId="27" fillId="0" borderId="0" xfId="4" applyNumberFormat="1" applyFont="1" applyFill="1"/>
    <xf numFmtId="4" fontId="31" fillId="0" borderId="0" xfId="4" applyNumberFormat="1" applyFont="1" applyAlignment="1">
      <alignment horizontal="left"/>
    </xf>
    <xf numFmtId="4" fontId="31" fillId="0" borderId="0" xfId="4" applyNumberFormat="1" applyFont="1"/>
    <xf numFmtId="4" fontId="27" fillId="0" borderId="0" xfId="4" applyNumberFormat="1" applyFont="1"/>
    <xf numFmtId="0" fontId="30" fillId="0" borderId="0" xfId="4" applyFont="1"/>
    <xf numFmtId="0" fontId="33" fillId="0" borderId="5" xfId="5" applyFont="1" applyFill="1" applyBorder="1" applyAlignment="1">
      <alignment horizontal="center" vertical="center" wrapText="1"/>
    </xf>
    <xf numFmtId="0" fontId="33" fillId="0" borderId="6" xfId="5" applyFont="1" applyFill="1" applyBorder="1" applyAlignment="1">
      <alignment horizontal="center" vertical="center"/>
    </xf>
    <xf numFmtId="3" fontId="33" fillId="0" borderId="6" xfId="5" applyNumberFormat="1" applyFont="1" applyFill="1" applyBorder="1" applyAlignment="1">
      <alignment horizontal="center" vertical="center" wrapText="1"/>
    </xf>
    <xf numFmtId="3" fontId="33" fillId="4" borderId="6" xfId="5" applyNumberFormat="1" applyFont="1" applyFill="1" applyBorder="1" applyAlignment="1">
      <alignment horizontal="center" vertical="center" wrapText="1"/>
    </xf>
    <xf numFmtId="3" fontId="33" fillId="0" borderId="7" xfId="5" applyNumberFormat="1" applyFont="1" applyFill="1" applyBorder="1" applyAlignment="1">
      <alignment horizontal="center" vertical="center" wrapText="1"/>
    </xf>
    <xf numFmtId="0" fontId="34" fillId="0" borderId="0" xfId="5" applyFont="1" applyFill="1"/>
    <xf numFmtId="0" fontId="35" fillId="0" borderId="0" xfId="5" applyFont="1" applyFill="1"/>
    <xf numFmtId="3" fontId="34" fillId="0" borderId="9" xfId="5" applyNumberFormat="1" applyFont="1" applyFill="1" applyBorder="1" applyAlignment="1">
      <alignment horizontal="center"/>
    </xf>
    <xf numFmtId="3" fontId="34" fillId="0" borderId="10" xfId="5" applyNumberFormat="1" applyFont="1" applyFill="1" applyBorder="1" applyAlignment="1">
      <alignment horizontal="center"/>
    </xf>
    <xf numFmtId="4" fontId="34" fillId="4" borderId="10" xfId="5" applyNumberFormat="1" applyFont="1" applyFill="1" applyBorder="1" applyAlignment="1">
      <alignment horizontal="center"/>
    </xf>
    <xf numFmtId="4" fontId="34" fillId="0" borderId="10" xfId="5" applyNumberFormat="1" applyFont="1" applyFill="1" applyBorder="1" applyAlignment="1">
      <alignment horizontal="center"/>
    </xf>
    <xf numFmtId="4" fontId="34" fillId="0" borderId="11" xfId="5" applyNumberFormat="1" applyFont="1" applyFill="1" applyBorder="1" applyAlignment="1">
      <alignment horizontal="center"/>
    </xf>
    <xf numFmtId="3" fontId="34" fillId="0" borderId="15" xfId="5" applyNumberFormat="1" applyFont="1" applyFill="1" applyBorder="1" applyAlignment="1">
      <alignment horizontal="center" vertical="center"/>
    </xf>
    <xf numFmtId="0" fontId="34" fillId="0" borderId="0" xfId="5" applyFont="1" applyFill="1" applyAlignment="1">
      <alignment vertical="center"/>
    </xf>
    <xf numFmtId="0" fontId="35" fillId="0" borderId="0" xfId="5" applyFont="1" applyFill="1" applyAlignment="1">
      <alignment vertical="center"/>
    </xf>
    <xf numFmtId="3" fontId="34" fillId="3" borderId="15" xfId="5" applyNumberFormat="1" applyFont="1" applyFill="1" applyBorder="1" applyAlignment="1">
      <alignment horizontal="center" vertical="center"/>
    </xf>
    <xf numFmtId="3" fontId="34" fillId="0" borderId="21" xfId="5" applyNumberFormat="1" applyFont="1" applyFill="1" applyBorder="1" applyAlignment="1">
      <alignment horizontal="center" vertical="center" wrapText="1"/>
    </xf>
    <xf numFmtId="3" fontId="34" fillId="0" borderId="19" xfId="5" applyNumberFormat="1" applyFont="1" applyFill="1" applyBorder="1" applyAlignment="1">
      <alignment horizontal="center"/>
    </xf>
    <xf numFmtId="3" fontId="34" fillId="0" borderId="19" xfId="5" applyNumberFormat="1" applyFont="1" applyFill="1" applyBorder="1" applyAlignment="1">
      <alignment horizontal="center" vertical="center"/>
    </xf>
    <xf numFmtId="4" fontId="34" fillId="4" borderId="19" xfId="5" applyNumberFormat="1" applyFont="1" applyFill="1" applyBorder="1" applyAlignment="1">
      <alignment horizontal="center" vertical="center"/>
    </xf>
    <xf numFmtId="4" fontId="34" fillId="0" borderId="19" xfId="5" applyNumberFormat="1" applyFont="1" applyFill="1" applyBorder="1" applyAlignment="1">
      <alignment horizontal="center" vertical="center"/>
    </xf>
    <xf numFmtId="4" fontId="34" fillId="0" borderId="20" xfId="5" applyNumberFormat="1" applyFont="1" applyFill="1" applyBorder="1" applyAlignment="1">
      <alignment horizontal="center" vertical="center"/>
    </xf>
    <xf numFmtId="3" fontId="33" fillId="0" borderId="24" xfId="5" applyNumberFormat="1" applyFont="1" applyFill="1" applyBorder="1" applyAlignment="1">
      <alignment horizontal="center"/>
    </xf>
    <xf numFmtId="3" fontId="33" fillId="0" borderId="25" xfId="5" applyNumberFormat="1" applyFont="1" applyFill="1" applyBorder="1" applyAlignment="1">
      <alignment horizontal="center"/>
    </xf>
    <xf numFmtId="4" fontId="33" fillId="4" borderId="25" xfId="5" applyNumberFormat="1" applyFont="1" applyFill="1" applyBorder="1" applyAlignment="1">
      <alignment horizontal="center"/>
    </xf>
    <xf numFmtId="4" fontId="33" fillId="0" borderId="25" xfId="5" applyNumberFormat="1" applyFont="1" applyFill="1" applyBorder="1" applyAlignment="1">
      <alignment horizontal="center"/>
    </xf>
    <xf numFmtId="4" fontId="33" fillId="0" borderId="26" xfId="5" applyNumberFormat="1" applyFont="1" applyFill="1" applyBorder="1" applyAlignment="1">
      <alignment horizontal="center"/>
    </xf>
    <xf numFmtId="0" fontId="33" fillId="0" borderId="0" xfId="5" applyFont="1" applyFill="1"/>
    <xf numFmtId="0" fontId="36" fillId="0" borderId="0" xfId="5" applyFont="1" applyFill="1"/>
    <xf numFmtId="0" fontId="19" fillId="0" borderId="0" xfId="4" applyFont="1"/>
    <xf numFmtId="0" fontId="37" fillId="0" borderId="0" xfId="4" applyFont="1"/>
    <xf numFmtId="0" fontId="33" fillId="0" borderId="6" xfId="5" applyFont="1" applyFill="1" applyBorder="1" applyAlignment="1">
      <alignment horizontal="center" vertical="center" wrapText="1"/>
    </xf>
    <xf numFmtId="3" fontId="34" fillId="0" borderId="14" xfId="5" applyNumberFormat="1" applyFont="1" applyFill="1" applyBorder="1" applyAlignment="1">
      <alignment vertical="center" wrapText="1"/>
    </xf>
    <xf numFmtId="3" fontId="34" fillId="0" borderId="15" xfId="5" applyNumberFormat="1" applyFont="1" applyFill="1" applyBorder="1" applyAlignment="1">
      <alignment horizontal="center"/>
    </xf>
    <xf numFmtId="4" fontId="34" fillId="4" borderId="15" xfId="5" applyNumberFormat="1" applyFont="1" applyFill="1" applyBorder="1" applyAlignment="1">
      <alignment horizontal="center" vertical="center"/>
    </xf>
    <xf numFmtId="4" fontId="34" fillId="0" borderId="15" xfId="5" applyNumberFormat="1" applyFont="1" applyFill="1" applyBorder="1" applyAlignment="1">
      <alignment horizontal="center" vertical="center"/>
    </xf>
    <xf numFmtId="4" fontId="34" fillId="0" borderId="16" xfId="5" applyNumberFormat="1" applyFont="1" applyFill="1" applyBorder="1" applyAlignment="1">
      <alignment horizontal="center" vertical="center"/>
    </xf>
    <xf numFmtId="0" fontId="33" fillId="0" borderId="27" xfId="4" applyFont="1" applyBorder="1" applyAlignment="1">
      <alignment horizontal="center" vertical="center"/>
    </xf>
    <xf numFmtId="0" fontId="33" fillId="0" borderId="2" xfId="4" applyFont="1" applyBorder="1" applyAlignment="1">
      <alignment horizontal="center" vertical="center" wrapText="1"/>
    </xf>
    <xf numFmtId="0" fontId="34" fillId="0" borderId="0" xfId="4" applyFont="1" applyFill="1"/>
    <xf numFmtId="2" fontId="34" fillId="0" borderId="28" xfId="5" applyNumberFormat="1" applyFont="1" applyFill="1" applyBorder="1" applyAlignment="1">
      <alignment horizontal="left" vertical="center" wrapText="1"/>
    </xf>
    <xf numFmtId="164" fontId="34" fillId="0" borderId="29" xfId="5" applyNumberFormat="1" applyFont="1" applyFill="1" applyBorder="1" applyAlignment="1">
      <alignment horizontal="center" vertical="center" wrapText="1"/>
    </xf>
    <xf numFmtId="0" fontId="38" fillId="0" borderId="0" xfId="4" applyFont="1" applyFill="1"/>
    <xf numFmtId="2" fontId="34" fillId="0" borderId="30" xfId="5" applyNumberFormat="1" applyFont="1" applyFill="1" applyBorder="1" applyAlignment="1">
      <alignment horizontal="left" vertical="center" wrapText="1"/>
    </xf>
    <xf numFmtId="164" fontId="34" fillId="0" borderId="31" xfId="5" applyNumberFormat="1" applyFont="1" applyFill="1" applyBorder="1" applyAlignment="1">
      <alignment horizontal="center" vertical="center" wrapText="1"/>
    </xf>
    <xf numFmtId="0" fontId="27" fillId="0" borderId="0" xfId="4" applyFont="1" applyFill="1"/>
    <xf numFmtId="0" fontId="39" fillId="0" borderId="0" xfId="4" applyFont="1" applyFill="1"/>
    <xf numFmtId="2" fontId="34" fillId="0" borderId="32" xfId="5" applyNumberFormat="1" applyFont="1" applyFill="1" applyBorder="1" applyAlignment="1">
      <alignment horizontal="left" vertical="center" wrapText="1"/>
    </xf>
    <xf numFmtId="164" fontId="34" fillId="0" borderId="33" xfId="5" applyNumberFormat="1" applyFont="1" applyFill="1" applyBorder="1" applyAlignment="1">
      <alignment horizontal="center" vertical="center" wrapText="1"/>
    </xf>
    <xf numFmtId="2" fontId="33" fillId="0" borderId="27" xfId="5" applyNumberFormat="1" applyFont="1" applyFill="1" applyBorder="1" applyAlignment="1">
      <alignment horizontal="left" vertical="center" wrapText="1"/>
    </xf>
    <xf numFmtId="164" fontId="33" fillId="0" borderId="2" xfId="5" applyNumberFormat="1" applyFont="1" applyFill="1" applyBorder="1" applyAlignment="1">
      <alignment horizontal="center" vertical="center" wrapText="1"/>
    </xf>
    <xf numFmtId="0" fontId="26" fillId="0" borderId="0" xfId="4" applyFont="1" applyBorder="1"/>
    <xf numFmtId="0" fontId="26" fillId="0" borderId="34" xfId="4" applyFont="1" applyBorder="1"/>
    <xf numFmtId="0" fontId="33" fillId="4" borderId="6" xfId="5" applyFont="1" applyFill="1" applyBorder="1" applyAlignment="1">
      <alignment horizontal="center" vertical="center" wrapText="1"/>
    </xf>
    <xf numFmtId="0" fontId="33" fillId="0" borderId="7" xfId="5" applyFont="1" applyFill="1" applyBorder="1" applyAlignment="1">
      <alignment horizontal="center" vertical="center" wrapText="1"/>
    </xf>
    <xf numFmtId="0" fontId="34" fillId="0" borderId="9" xfId="5" applyFont="1" applyFill="1" applyBorder="1"/>
    <xf numFmtId="2" fontId="34" fillId="4" borderId="10" xfId="5" applyNumberFormat="1" applyFont="1" applyFill="1" applyBorder="1" applyAlignment="1">
      <alignment horizontal="center"/>
    </xf>
    <xf numFmtId="2" fontId="34" fillId="0" borderId="10" xfId="5" applyNumberFormat="1" applyFont="1" applyFill="1" applyBorder="1" applyAlignment="1">
      <alignment horizontal="center"/>
    </xf>
    <xf numFmtId="2" fontId="34" fillId="0" borderId="11" xfId="5" applyNumberFormat="1" applyFont="1" applyFill="1" applyBorder="1" applyAlignment="1">
      <alignment horizontal="center"/>
    </xf>
    <xf numFmtId="0" fontId="34" fillId="0" borderId="14" xfId="5" applyFont="1" applyFill="1" applyBorder="1" applyAlignment="1">
      <alignment vertical="center"/>
    </xf>
    <xf numFmtId="2" fontId="34" fillId="4" borderId="15" xfId="5" applyNumberFormat="1" applyFont="1" applyFill="1" applyBorder="1" applyAlignment="1">
      <alignment horizontal="center" vertical="center"/>
    </xf>
    <xf numFmtId="0" fontId="34" fillId="4" borderId="15" xfId="5" applyFont="1" applyFill="1" applyBorder="1" applyAlignment="1">
      <alignment horizontal="center" vertical="center"/>
    </xf>
    <xf numFmtId="2" fontId="34" fillId="0" borderId="15" xfId="5" applyNumberFormat="1" applyFont="1" applyFill="1" applyBorder="1" applyAlignment="1">
      <alignment horizontal="center" vertical="center"/>
    </xf>
    <xf numFmtId="2" fontId="34" fillId="0" borderId="16" xfId="5" applyNumberFormat="1" applyFont="1" applyFill="1" applyBorder="1" applyAlignment="1">
      <alignment horizontal="center" vertical="center"/>
    </xf>
    <xf numFmtId="0" fontId="34" fillId="0" borderId="24" xfId="5" applyFont="1" applyFill="1" applyBorder="1"/>
    <xf numFmtId="3" fontId="34" fillId="0" borderId="25" xfId="5" applyNumberFormat="1" applyFont="1" applyFill="1" applyBorder="1" applyAlignment="1">
      <alignment horizontal="center"/>
    </xf>
    <xf numFmtId="0" fontId="34" fillId="4" borderId="25" xfId="5" applyFont="1" applyFill="1" applyBorder="1"/>
    <xf numFmtId="0" fontId="34" fillId="0" borderId="25" xfId="5" applyFont="1" applyFill="1" applyBorder="1"/>
    <xf numFmtId="0" fontId="34" fillId="0" borderId="26" xfId="5" applyFont="1" applyFill="1" applyBorder="1"/>
    <xf numFmtId="0" fontId="30" fillId="0" borderId="0" xfId="6" applyFont="1"/>
    <xf numFmtId="0" fontId="26" fillId="0" borderId="0" xfId="6" applyFont="1"/>
    <xf numFmtId="0" fontId="40" fillId="0" borderId="0" xfId="6" applyFont="1"/>
    <xf numFmtId="0" fontId="28" fillId="0" borderId="0" xfId="6" applyFont="1"/>
    <xf numFmtId="4" fontId="28" fillId="0" borderId="0" xfId="6" applyNumberFormat="1" applyFont="1" applyFill="1"/>
    <xf numFmtId="0" fontId="28" fillId="0" borderId="0" xfId="6" applyFont="1" applyAlignment="1">
      <alignment horizontal="center"/>
    </xf>
    <xf numFmtId="0" fontId="28" fillId="0" borderId="5" xfId="6" applyFont="1" applyBorder="1"/>
    <xf numFmtId="0" fontId="21" fillId="0" borderId="6" xfId="6" applyFont="1" applyFill="1" applyBorder="1" applyAlignment="1">
      <alignment horizontal="center" vertical="center"/>
    </xf>
    <xf numFmtId="0" fontId="28" fillId="0" borderId="6" xfId="6" applyFont="1" applyBorder="1" applyAlignment="1">
      <alignment horizontal="center" vertical="center"/>
    </xf>
    <xf numFmtId="0" fontId="28" fillId="0" borderId="6" xfId="6" applyFont="1" applyBorder="1" applyAlignment="1">
      <alignment horizontal="center" vertical="center" wrapText="1"/>
    </xf>
    <xf numFmtId="0" fontId="28" fillId="0" borderId="7" xfId="6" applyFont="1" applyBorder="1" applyAlignment="1">
      <alignment horizontal="center" vertical="center" wrapText="1"/>
    </xf>
    <xf numFmtId="0" fontId="28" fillId="0" borderId="9" xfId="6" applyFont="1" applyBorder="1"/>
    <xf numFmtId="0" fontId="21" fillId="0" borderId="10" xfId="6" applyFont="1" applyFill="1" applyBorder="1"/>
    <xf numFmtId="0" fontId="28" fillId="0" borderId="10" xfId="6" applyFont="1" applyBorder="1"/>
    <xf numFmtId="0" fontId="28" fillId="0" borderId="11" xfId="6" applyFont="1" applyBorder="1"/>
    <xf numFmtId="0" fontId="21" fillId="0" borderId="25" xfId="6" applyFont="1" applyFill="1" applyBorder="1"/>
    <xf numFmtId="4" fontId="40" fillId="0" borderId="0" xfId="6" applyNumberFormat="1" applyFont="1"/>
    <xf numFmtId="0" fontId="21" fillId="0" borderId="0" xfId="7" applyFont="1" applyFill="1"/>
    <xf numFmtId="2" fontId="29" fillId="0" borderId="0" xfId="7" applyNumberFormat="1" applyFont="1" applyFill="1"/>
    <xf numFmtId="2" fontId="21" fillId="0" borderId="0" xfId="7" applyNumberFormat="1" applyFont="1" applyFill="1"/>
    <xf numFmtId="0" fontId="21" fillId="0" borderId="12" xfId="7" applyFont="1" applyFill="1" applyBorder="1"/>
    <xf numFmtId="0" fontId="21" fillId="0" borderId="16" xfId="7" applyFont="1" applyFill="1" applyBorder="1"/>
    <xf numFmtId="4" fontId="21" fillId="0" borderId="0" xfId="7" applyNumberFormat="1" applyFont="1" applyFill="1"/>
    <xf numFmtId="0" fontId="21" fillId="0" borderId="0" xfId="7" applyFont="1" applyFill="1" applyAlignment="1">
      <alignment horizontal="right"/>
    </xf>
    <xf numFmtId="0" fontId="21" fillId="0" borderId="26" xfId="7" applyFont="1" applyFill="1" applyBorder="1"/>
    <xf numFmtId="0" fontId="21" fillId="5" borderId="5" xfId="7" applyFont="1" applyFill="1" applyBorder="1"/>
    <xf numFmtId="0" fontId="21" fillId="5" borderId="6" xfId="7" applyFont="1" applyFill="1" applyBorder="1"/>
    <xf numFmtId="4" fontId="21" fillId="5" borderId="7" xfId="7" applyNumberFormat="1" applyFont="1" applyFill="1" applyBorder="1"/>
    <xf numFmtId="9" fontId="29" fillId="0" borderId="0" xfId="7" applyNumberFormat="1" applyFont="1" applyFill="1"/>
    <xf numFmtId="0" fontId="21" fillId="0" borderId="0" xfId="8" applyFont="1"/>
    <xf numFmtId="0" fontId="40" fillId="0" borderId="0" xfId="6" applyFont="1" applyAlignment="1"/>
    <xf numFmtId="0" fontId="28" fillId="0" borderId="0" xfId="6" applyFont="1" applyAlignment="1"/>
    <xf numFmtId="4" fontId="29" fillId="0" borderId="0" xfId="7" applyNumberFormat="1" applyFont="1" applyFill="1"/>
    <xf numFmtId="0" fontId="29" fillId="0" borderId="0" xfId="8" applyFont="1"/>
    <xf numFmtId="0" fontId="21" fillId="0" borderId="0" xfId="8" applyFont="1" applyAlignment="1">
      <alignment horizontal="center"/>
    </xf>
    <xf numFmtId="0" fontId="29" fillId="0" borderId="0" xfId="7" applyFont="1" applyFill="1"/>
    <xf numFmtId="0" fontId="43" fillId="0" borderId="0" xfId="9" applyFont="1"/>
    <xf numFmtId="0" fontId="28" fillId="0" borderId="14" xfId="6" applyFont="1" applyBorder="1"/>
    <xf numFmtId="0" fontId="21" fillId="0" borderId="15" xfId="6" applyFont="1" applyFill="1" applyBorder="1"/>
    <xf numFmtId="0" fontId="28" fillId="0" borderId="15" xfId="6" applyFont="1" applyBorder="1"/>
    <xf numFmtId="0" fontId="28" fillId="0" borderId="16" xfId="6" applyFont="1" applyBorder="1"/>
    <xf numFmtId="0" fontId="21" fillId="0" borderId="15" xfId="6" applyFont="1" applyBorder="1"/>
    <xf numFmtId="0" fontId="21" fillId="0" borderId="16" xfId="6" applyFont="1" applyBorder="1"/>
    <xf numFmtId="0" fontId="21" fillId="0" borderId="24" xfId="6" applyFont="1" applyBorder="1"/>
    <xf numFmtId="0" fontId="21" fillId="0" borderId="25" xfId="6" applyFont="1" applyBorder="1"/>
    <xf numFmtId="0" fontId="21" fillId="0" borderId="26" xfId="6" applyFont="1" applyBorder="1"/>
    <xf numFmtId="0" fontId="4" fillId="0" borderId="0" xfId="1" applyFont="1" applyAlignment="1">
      <alignment vertical="center"/>
    </xf>
    <xf numFmtId="0" fontId="26" fillId="0" borderId="0" xfId="11" applyFont="1"/>
    <xf numFmtId="0" fontId="40" fillId="0" borderId="0" xfId="11" applyFont="1" applyAlignment="1">
      <alignment horizontal="center" vertical="center"/>
    </xf>
    <xf numFmtId="0" fontId="40" fillId="0" borderId="25" xfId="11" applyFont="1" applyBorder="1" applyAlignment="1">
      <alignment horizontal="center" vertical="center"/>
    </xf>
    <xf numFmtId="0" fontId="40" fillId="0" borderId="24" xfId="11" applyFont="1" applyBorder="1" applyAlignment="1">
      <alignment horizontal="center" vertical="center" wrapText="1"/>
    </xf>
    <xf numFmtId="0" fontId="28" fillId="0" borderId="9" xfId="11" applyFont="1" applyBorder="1"/>
    <xf numFmtId="0" fontId="28" fillId="0" borderId="18" xfId="11" applyFont="1" applyBorder="1"/>
    <xf numFmtId="0" fontId="28" fillId="0" borderId="10" xfId="11" applyFont="1" applyBorder="1"/>
    <xf numFmtId="0" fontId="28" fillId="0" borderId="11" xfId="11" applyFont="1" applyBorder="1"/>
    <xf numFmtId="0" fontId="28" fillId="0" borderId="0" xfId="11" applyFont="1"/>
    <xf numFmtId="0" fontId="28" fillId="0" borderId="9" xfId="11" applyFont="1" applyFill="1" applyBorder="1"/>
    <xf numFmtId="0" fontId="28" fillId="0" borderId="29" xfId="12" applyFont="1" applyBorder="1"/>
    <xf numFmtId="0" fontId="28" fillId="0" borderId="28" xfId="12" applyFont="1" applyBorder="1"/>
    <xf numFmtId="0" fontId="28" fillId="4" borderId="29" xfId="12" applyFont="1" applyFill="1" applyBorder="1"/>
    <xf numFmtId="0" fontId="28" fillId="0" borderId="14" xfId="11" applyFont="1" applyBorder="1"/>
    <xf numFmtId="0" fontId="28" fillId="0" borderId="17" xfId="11" applyFont="1" applyBorder="1"/>
    <xf numFmtId="3" fontId="28" fillId="0" borderId="15" xfId="11" applyNumberFormat="1" applyFont="1" applyBorder="1"/>
    <xf numFmtId="4" fontId="28" fillId="0" borderId="16" xfId="11" applyNumberFormat="1" applyFont="1" applyBorder="1"/>
    <xf numFmtId="3" fontId="28" fillId="0" borderId="14" xfId="11" applyNumberFormat="1" applyFont="1" applyBorder="1"/>
    <xf numFmtId="3" fontId="28" fillId="0" borderId="31" xfId="12" applyNumberFormat="1" applyFont="1" applyBorder="1"/>
    <xf numFmtId="3" fontId="28" fillId="0" borderId="30" xfId="12" applyNumberFormat="1" applyFont="1" applyBorder="1"/>
    <xf numFmtId="4" fontId="28" fillId="4" borderId="31" xfId="12" applyNumberFormat="1" applyFont="1" applyFill="1" applyBorder="1"/>
    <xf numFmtId="4" fontId="28" fillId="0" borderId="30" xfId="12" applyNumberFormat="1" applyFont="1" applyBorder="1"/>
    <xf numFmtId="4" fontId="28" fillId="0" borderId="15" xfId="11" applyNumberFormat="1" applyFont="1" applyBorder="1"/>
    <xf numFmtId="4" fontId="28" fillId="0" borderId="0" xfId="11" applyNumberFormat="1" applyFont="1"/>
    <xf numFmtId="0" fontId="28" fillId="0" borderId="24" xfId="11" applyFont="1" applyBorder="1"/>
    <xf numFmtId="0" fontId="28" fillId="0" borderId="41" xfId="11" applyFont="1" applyBorder="1"/>
    <xf numFmtId="3" fontId="28" fillId="0" borderId="25" xfId="11" applyNumberFormat="1" applyFont="1" applyBorder="1"/>
    <xf numFmtId="4" fontId="28" fillId="0" borderId="26" xfId="11" applyNumberFormat="1" applyFont="1" applyBorder="1"/>
    <xf numFmtId="3" fontId="28" fillId="0" borderId="24" xfId="11" applyNumberFormat="1" applyFont="1" applyFill="1" applyBorder="1"/>
    <xf numFmtId="3" fontId="28" fillId="0" borderId="42" xfId="12" applyNumberFormat="1" applyFont="1" applyBorder="1"/>
    <xf numFmtId="3" fontId="28" fillId="0" borderId="43" xfId="12" applyNumberFormat="1" applyFont="1" applyBorder="1"/>
    <xf numFmtId="3" fontId="28" fillId="4" borderId="42" xfId="12" applyNumberFormat="1" applyFont="1" applyFill="1" applyBorder="1"/>
    <xf numFmtId="2" fontId="14" fillId="3" borderId="2" xfId="1" applyNumberFormat="1" applyFont="1" applyFill="1" applyBorder="1" applyAlignment="1">
      <alignment horizontal="center" vertical="center" wrapText="1"/>
    </xf>
    <xf numFmtId="2" fontId="18" fillId="3" borderId="2" xfId="1" applyNumberFormat="1" applyFont="1" applyFill="1" applyBorder="1" applyAlignment="1">
      <alignment horizontal="center" vertical="center" wrapText="1"/>
    </xf>
    <xf numFmtId="0" fontId="3" fillId="3" borderId="0" xfId="1" applyFill="1" applyAlignment="1">
      <alignment vertical="center"/>
    </xf>
    <xf numFmtId="0" fontId="4" fillId="3" borderId="0" xfId="1" applyFont="1" applyFill="1"/>
    <xf numFmtId="0" fontId="6" fillId="3" borderId="0" xfId="1" applyFont="1" applyFill="1"/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 wrapText="1"/>
    </xf>
    <xf numFmtId="0" fontId="44" fillId="0" borderId="0" xfId="1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8" fillId="0" borderId="0" xfId="1" applyFont="1" applyAlignment="1">
      <alignment horizontal="center"/>
    </xf>
    <xf numFmtId="3" fontId="34" fillId="0" borderId="19" xfId="5" applyNumberFormat="1" applyFont="1" applyFill="1" applyBorder="1" applyAlignment="1">
      <alignment horizontal="center" vertical="center"/>
    </xf>
    <xf numFmtId="3" fontId="34" fillId="0" borderId="22" xfId="5" applyNumberFormat="1" applyFont="1" applyFill="1" applyBorder="1" applyAlignment="1">
      <alignment horizontal="center" vertical="center"/>
    </xf>
    <xf numFmtId="3" fontId="34" fillId="0" borderId="10" xfId="5" applyNumberFormat="1" applyFont="1" applyFill="1" applyBorder="1" applyAlignment="1">
      <alignment horizontal="center" vertical="center"/>
    </xf>
    <xf numFmtId="4" fontId="34" fillId="4" borderId="19" xfId="5" applyNumberFormat="1" applyFont="1" applyFill="1" applyBorder="1" applyAlignment="1">
      <alignment horizontal="center" vertical="center"/>
    </xf>
    <xf numFmtId="4" fontId="34" fillId="4" borderId="22" xfId="5" applyNumberFormat="1" applyFont="1" applyFill="1" applyBorder="1" applyAlignment="1">
      <alignment horizontal="center" vertical="center"/>
    </xf>
    <xf numFmtId="4" fontId="34" fillId="4" borderId="10" xfId="5" applyNumberFormat="1" applyFont="1" applyFill="1" applyBorder="1" applyAlignment="1">
      <alignment horizontal="center" vertical="center"/>
    </xf>
    <xf numFmtId="4" fontId="34" fillId="0" borderId="19" xfId="5" applyNumberFormat="1" applyFont="1" applyFill="1" applyBorder="1" applyAlignment="1">
      <alignment horizontal="center" vertical="center"/>
    </xf>
    <xf numFmtId="4" fontId="34" fillId="0" borderId="22" xfId="5" applyNumberFormat="1" applyFont="1" applyFill="1" applyBorder="1" applyAlignment="1">
      <alignment horizontal="center" vertical="center"/>
    </xf>
    <xf numFmtId="4" fontId="34" fillId="0" borderId="10" xfId="5" applyNumberFormat="1" applyFont="1" applyFill="1" applyBorder="1" applyAlignment="1">
      <alignment horizontal="center" vertical="center"/>
    </xf>
    <xf numFmtId="4" fontId="34" fillId="0" borderId="20" xfId="5" applyNumberFormat="1" applyFont="1" applyFill="1" applyBorder="1" applyAlignment="1">
      <alignment horizontal="center" vertical="center"/>
    </xf>
    <xf numFmtId="4" fontId="34" fillId="0" borderId="23" xfId="5" applyNumberFormat="1" applyFont="1" applyFill="1" applyBorder="1" applyAlignment="1">
      <alignment horizontal="center" vertical="center"/>
    </xf>
    <xf numFmtId="4" fontId="34" fillId="0" borderId="11" xfId="5" applyNumberFormat="1" applyFont="1" applyFill="1" applyBorder="1" applyAlignment="1">
      <alignment horizontal="center" vertical="center"/>
    </xf>
    <xf numFmtId="0" fontId="33" fillId="0" borderId="2" xfId="4" applyFont="1" applyFill="1" applyBorder="1" applyAlignment="1">
      <alignment horizontal="center" vertical="center" wrapText="1"/>
    </xf>
    <xf numFmtId="0" fontId="33" fillId="0" borderId="27" xfId="4" applyFont="1" applyBorder="1" applyAlignment="1">
      <alignment horizontal="center" vertical="center"/>
    </xf>
    <xf numFmtId="0" fontId="33" fillId="0" borderId="8" xfId="4" applyFont="1" applyBorder="1" applyAlignment="1">
      <alignment horizontal="center" vertical="center"/>
    </xf>
    <xf numFmtId="3" fontId="34" fillId="0" borderId="14" xfId="5" applyNumberFormat="1" applyFont="1" applyFill="1" applyBorder="1" applyAlignment="1">
      <alignment horizontal="center" vertical="center" wrapText="1"/>
    </xf>
    <xf numFmtId="0" fontId="21" fillId="0" borderId="14" xfId="7" applyFont="1" applyFill="1" applyBorder="1" applyAlignment="1">
      <alignment horizontal="left" wrapText="1"/>
    </xf>
    <xf numFmtId="0" fontId="21" fillId="0" borderId="15" xfId="7" applyFont="1" applyFill="1" applyBorder="1" applyAlignment="1">
      <alignment horizontal="left" wrapText="1"/>
    </xf>
    <xf numFmtId="0" fontId="21" fillId="0" borderId="24" xfId="7" applyFont="1" applyFill="1" applyBorder="1" applyAlignment="1">
      <alignment horizontal="left" wrapText="1"/>
    </xf>
    <xf numFmtId="0" fontId="21" fillId="0" borderId="25" xfId="7" applyFont="1" applyFill="1" applyBorder="1" applyAlignment="1">
      <alignment horizontal="left" wrapText="1"/>
    </xf>
    <xf numFmtId="0" fontId="21" fillId="0" borderId="13" xfId="7" applyFont="1" applyFill="1" applyBorder="1" applyAlignment="1">
      <alignment horizontal="left" wrapText="1"/>
    </xf>
    <xf numFmtId="0" fontId="21" fillId="0" borderId="35" xfId="7" applyFont="1" applyFill="1" applyBorder="1" applyAlignment="1">
      <alignment horizontal="left" wrapText="1"/>
    </xf>
    <xf numFmtId="0" fontId="40" fillId="0" borderId="13" xfId="11" applyFont="1" applyBorder="1" applyAlignment="1">
      <alignment horizontal="center" vertical="center"/>
    </xf>
    <xf numFmtId="0" fontId="40" fillId="0" borderId="24" xfId="11" applyFont="1" applyBorder="1" applyAlignment="1">
      <alignment horizontal="center" vertical="center"/>
    </xf>
    <xf numFmtId="0" fontId="40" fillId="0" borderId="36" xfId="11" applyFont="1" applyBorder="1" applyAlignment="1">
      <alignment horizontal="center" vertical="center" wrapText="1"/>
    </xf>
    <xf numFmtId="0" fontId="40" fillId="0" borderId="39" xfId="11" applyFont="1" applyBorder="1" applyAlignment="1">
      <alignment horizontal="center" vertical="center" wrapText="1"/>
    </xf>
    <xf numFmtId="0" fontId="40" fillId="0" borderId="35" xfId="11" applyFont="1" applyBorder="1" applyAlignment="1">
      <alignment horizontal="center" vertical="center" wrapText="1"/>
    </xf>
    <xf numFmtId="0" fontId="40" fillId="0" borderId="25" xfId="11" applyFont="1" applyBorder="1" applyAlignment="1">
      <alignment horizontal="center" vertical="center" wrapText="1"/>
    </xf>
    <xf numFmtId="0" fontId="40" fillId="0" borderId="12" xfId="11" applyFont="1" applyBorder="1" applyAlignment="1">
      <alignment horizontal="center" vertical="center" wrapText="1"/>
    </xf>
    <xf numFmtId="0" fontId="40" fillId="0" borderId="26" xfId="11" applyFont="1" applyBorder="1" applyAlignment="1">
      <alignment horizontal="center" vertical="center" wrapText="1"/>
    </xf>
    <xf numFmtId="0" fontId="40" fillId="0" borderId="13" xfId="11" applyFont="1" applyBorder="1" applyAlignment="1">
      <alignment horizontal="center" vertical="center" wrapText="1"/>
    </xf>
    <xf numFmtId="0" fontId="40" fillId="0" borderId="37" xfId="12" applyFont="1" applyBorder="1" applyAlignment="1">
      <alignment horizontal="center" vertical="center" wrapText="1"/>
    </xf>
    <xf numFmtId="0" fontId="40" fillId="0" borderId="40" xfId="12" applyFont="1" applyBorder="1" applyAlignment="1">
      <alignment horizontal="center" vertical="center" wrapText="1"/>
    </xf>
    <xf numFmtId="0" fontId="40" fillId="0" borderId="38" xfId="12" applyFont="1" applyBorder="1" applyAlignment="1">
      <alignment horizontal="center" vertical="center" wrapText="1"/>
    </xf>
    <xf numFmtId="0" fontId="40" fillId="0" borderId="4" xfId="12" applyFont="1" applyBorder="1" applyAlignment="1">
      <alignment horizontal="center" vertical="center" wrapText="1"/>
    </xf>
    <xf numFmtId="0" fontId="40" fillId="4" borderId="37" xfId="12" applyFont="1" applyFill="1" applyBorder="1" applyAlignment="1">
      <alignment horizontal="center" vertical="center" wrapText="1"/>
    </xf>
    <xf numFmtId="0" fontId="40" fillId="4" borderId="40" xfId="12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1" xfId="2"/>
    <cellStyle name="Обычный 11 2" xfId="6"/>
    <cellStyle name="Обычный 11 7" xfId="4"/>
    <cellStyle name="Обычный 2 2" xfId="3"/>
    <cellStyle name="Обычный 2 2 3 2" xfId="9"/>
    <cellStyle name="Обычный 3 3" xfId="8"/>
    <cellStyle name="Обычный 4" xfId="12"/>
    <cellStyle name="Обычный 5" xfId="11"/>
    <cellStyle name="Обычный 83" xfId="10"/>
    <cellStyle name="Обычный_5_А_2007_ЮЖНОЕ_N_ДР_АКТЫ" xfId="7"/>
    <cellStyle name="Обычный_бюджет 2008 (11.02.08) на утверждение 2" xfId="5"/>
    <cellStyle name="Обычный_тарифы город=фак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nt\&#1092;&#1086;\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28"/>
  <sheetViews>
    <sheetView zoomScale="60" zoomScaleNormal="60" zoomScaleSheetLayoutView="75" workbookViewId="0">
      <selection activeCell="M17" sqref="M17"/>
    </sheetView>
  </sheetViews>
  <sheetFormatPr defaultColWidth="10.28515625" defaultRowHeight="15" x14ac:dyDescent="0.25"/>
  <cols>
    <col min="1" max="1" width="4.7109375" style="14" customWidth="1"/>
    <col min="2" max="2" width="78.28515625" style="14" customWidth="1"/>
    <col min="3" max="3" width="17" style="19" customWidth="1"/>
    <col min="4" max="4" width="23.42578125" style="24" customWidth="1"/>
    <col min="5" max="5" width="23.42578125" style="13" customWidth="1"/>
    <col min="6" max="7" width="23.42578125" style="6" customWidth="1"/>
    <col min="8" max="8" width="10.42578125" style="6" customWidth="1"/>
    <col min="9" max="16384" width="10.28515625" style="14"/>
  </cols>
  <sheetData>
    <row r="1" spans="1:9" s="6" customFormat="1" ht="21" x14ac:dyDescent="0.35">
      <c r="A1" s="1"/>
      <c r="B1" s="7"/>
      <c r="C1" s="3"/>
      <c r="D1" s="2"/>
      <c r="E1" s="4"/>
      <c r="F1" s="5" t="s">
        <v>117</v>
      </c>
    </row>
    <row r="2" spans="1:9" s="6" customFormat="1" ht="18.75" x14ac:dyDescent="0.3">
      <c r="A2" s="214" t="s">
        <v>0</v>
      </c>
      <c r="B2" s="214"/>
      <c r="C2" s="214"/>
      <c r="D2" s="214"/>
      <c r="E2" s="214"/>
      <c r="F2" s="214"/>
    </row>
    <row r="3" spans="1:9" s="6" customFormat="1" ht="21.75" customHeight="1" x14ac:dyDescent="0.3">
      <c r="A3" s="214" t="s">
        <v>1</v>
      </c>
      <c r="B3" s="214"/>
      <c r="C3" s="214"/>
      <c r="D3" s="214"/>
      <c r="E3" s="214"/>
      <c r="F3" s="214"/>
    </row>
    <row r="4" spans="1:9" s="6" customFormat="1" ht="21" customHeight="1" x14ac:dyDescent="0.25">
      <c r="A4" s="216" t="s">
        <v>116</v>
      </c>
      <c r="B4" s="216"/>
      <c r="C4" s="216"/>
      <c r="D4" s="216"/>
      <c r="E4" s="216"/>
      <c r="F4" s="216"/>
    </row>
    <row r="5" spans="1:9" s="6" customFormat="1" ht="21" customHeight="1" x14ac:dyDescent="0.25">
      <c r="A5" s="217"/>
      <c r="B5" s="217"/>
      <c r="C5" s="217"/>
      <c r="D5" s="217"/>
      <c r="E5" s="217"/>
      <c r="F5" s="217"/>
    </row>
    <row r="6" spans="1:9" s="6" customFormat="1" ht="18.75" customHeight="1" x14ac:dyDescent="0.3">
      <c r="A6" s="215" t="s">
        <v>2</v>
      </c>
      <c r="B6" s="215"/>
      <c r="C6" s="215"/>
      <c r="D6" s="215"/>
      <c r="E6" s="215"/>
      <c r="F6" s="215"/>
    </row>
    <row r="7" spans="1:9" s="6" customFormat="1" x14ac:dyDescent="0.25">
      <c r="A7" s="1"/>
      <c r="B7" s="8" t="s">
        <v>3</v>
      </c>
      <c r="C7" s="28">
        <v>37415.199999999997</v>
      </c>
      <c r="D7" s="10"/>
      <c r="E7" s="4"/>
      <c r="F7" s="9"/>
    </row>
    <row r="8" spans="1:9" s="6" customFormat="1" ht="49.5" customHeight="1" x14ac:dyDescent="0.25">
      <c r="A8" s="36"/>
      <c r="B8" s="23" t="s">
        <v>4</v>
      </c>
      <c r="C8" s="21" t="s">
        <v>5</v>
      </c>
      <c r="D8" s="35" t="s">
        <v>15</v>
      </c>
      <c r="E8" s="35" t="s">
        <v>16</v>
      </c>
      <c r="F8" s="35" t="s">
        <v>17</v>
      </c>
      <c r="G8" s="35" t="s">
        <v>18</v>
      </c>
    </row>
    <row r="9" spans="1:9" s="6" customFormat="1" ht="42" customHeight="1" x14ac:dyDescent="0.25">
      <c r="A9" s="22" t="s">
        <v>6</v>
      </c>
      <c r="B9" s="31" t="s">
        <v>7</v>
      </c>
      <c r="C9" s="30" t="s">
        <v>8</v>
      </c>
      <c r="D9" s="30">
        <f>SUM(D10:D24)</f>
        <v>43.059999999999995</v>
      </c>
      <c r="E9" s="30">
        <f>SUM(E10:E24)+0.01</f>
        <v>58.800534489325891</v>
      </c>
      <c r="F9" s="30">
        <f>E9-D9</f>
        <v>15.740534489325896</v>
      </c>
      <c r="G9" s="30">
        <f>E9/D9*100-100</f>
        <v>36.554887341676476</v>
      </c>
    </row>
    <row r="10" spans="1:9" s="6" customFormat="1" ht="39.6" customHeight="1" x14ac:dyDescent="0.25">
      <c r="A10" s="37"/>
      <c r="B10" s="49" t="s">
        <v>35</v>
      </c>
      <c r="C10" s="26" t="s">
        <v>9</v>
      </c>
      <c r="D10" s="209">
        <v>5.65</v>
      </c>
      <c r="E10" s="209">
        <v>10.53453020893482</v>
      </c>
      <c r="F10" s="209">
        <f t="shared" ref="F10:F27" si="0">E10-D10</f>
        <v>4.8845302089348195</v>
      </c>
      <c r="G10" s="209">
        <f t="shared" ref="G10:G27" si="1">E10/D10*100-100</f>
        <v>86.451862105041045</v>
      </c>
      <c r="I10" s="13"/>
    </row>
    <row r="11" spans="1:9" s="6" customFormat="1" ht="39.6" customHeight="1" x14ac:dyDescent="0.25">
      <c r="A11" s="38"/>
      <c r="B11" s="49" t="s">
        <v>19</v>
      </c>
      <c r="C11" s="26" t="s">
        <v>9</v>
      </c>
      <c r="D11" s="209">
        <v>6.21</v>
      </c>
      <c r="E11" s="209">
        <v>6.33</v>
      </c>
      <c r="F11" s="209">
        <f t="shared" si="0"/>
        <v>0.12000000000000011</v>
      </c>
      <c r="G11" s="209">
        <f t="shared" si="1"/>
        <v>1.9323671497584627</v>
      </c>
      <c r="I11" s="13"/>
    </row>
    <row r="12" spans="1:9" s="6" customFormat="1" ht="39.6" customHeight="1" x14ac:dyDescent="0.25">
      <c r="A12" s="37"/>
      <c r="B12" s="49" t="s">
        <v>20</v>
      </c>
      <c r="C12" s="26" t="s">
        <v>9</v>
      </c>
      <c r="D12" s="210">
        <v>3.85</v>
      </c>
      <c r="E12" s="210">
        <v>5.9189867176594833</v>
      </c>
      <c r="F12" s="210">
        <f t="shared" si="0"/>
        <v>2.0689867176594832</v>
      </c>
      <c r="G12" s="210">
        <f t="shared" si="1"/>
        <v>53.739914744402171</v>
      </c>
      <c r="I12" s="13"/>
    </row>
    <row r="13" spans="1:9" ht="39.6" customHeight="1" x14ac:dyDescent="0.25">
      <c r="A13" s="37"/>
      <c r="B13" s="49" t="s">
        <v>21</v>
      </c>
      <c r="C13" s="26" t="s">
        <v>9</v>
      </c>
      <c r="D13" s="209">
        <v>3.1</v>
      </c>
      <c r="E13" s="209">
        <v>4.026788416817376</v>
      </c>
      <c r="F13" s="209">
        <f t="shared" si="0"/>
        <v>0.92678841681737589</v>
      </c>
      <c r="G13" s="209">
        <f t="shared" si="1"/>
        <v>29.896400542495996</v>
      </c>
      <c r="I13" s="13"/>
    </row>
    <row r="14" spans="1:9" ht="39.6" customHeight="1" x14ac:dyDescent="0.25">
      <c r="A14" s="37"/>
      <c r="B14" s="49" t="s">
        <v>22</v>
      </c>
      <c r="C14" s="26" t="s">
        <v>9</v>
      </c>
      <c r="D14" s="209">
        <v>0.9</v>
      </c>
      <c r="E14" s="209">
        <v>1.3485174950488277</v>
      </c>
      <c r="F14" s="209">
        <f t="shared" si="0"/>
        <v>0.44851749504882765</v>
      </c>
      <c r="G14" s="209">
        <f t="shared" si="1"/>
        <v>49.835277227647509</v>
      </c>
      <c r="I14" s="13"/>
    </row>
    <row r="15" spans="1:9" s="6" customFormat="1" ht="39.6" customHeight="1" x14ac:dyDescent="0.25">
      <c r="A15" s="37"/>
      <c r="B15" s="49" t="s">
        <v>23</v>
      </c>
      <c r="C15" s="26" t="s">
        <v>9</v>
      </c>
      <c r="D15" s="209">
        <v>0.76</v>
      </c>
      <c r="E15" s="209">
        <v>1.1387481069301213</v>
      </c>
      <c r="F15" s="209">
        <f t="shared" si="0"/>
        <v>0.37874810693012129</v>
      </c>
      <c r="G15" s="209">
        <f t="shared" si="1"/>
        <v>49.835277227647538</v>
      </c>
      <c r="I15" s="13"/>
    </row>
    <row r="16" spans="1:9" ht="39.6" customHeight="1" x14ac:dyDescent="0.25">
      <c r="A16" s="37"/>
      <c r="B16" s="49" t="s">
        <v>24</v>
      </c>
      <c r="C16" s="26" t="s">
        <v>9</v>
      </c>
      <c r="D16" s="209">
        <v>0.72</v>
      </c>
      <c r="E16" s="209">
        <v>1.0788139960390621</v>
      </c>
      <c r="F16" s="209">
        <f t="shared" si="0"/>
        <v>0.35881399603906217</v>
      </c>
      <c r="G16" s="209">
        <f t="shared" si="1"/>
        <v>49.835277227647538</v>
      </c>
      <c r="I16" s="13"/>
    </row>
    <row r="17" spans="1:9" ht="39.6" customHeight="1" x14ac:dyDescent="0.25">
      <c r="A17" s="37"/>
      <c r="B17" s="49" t="s">
        <v>25</v>
      </c>
      <c r="C17" s="26" t="s">
        <v>9</v>
      </c>
      <c r="D17" s="209">
        <v>7.0000000000000007E-2</v>
      </c>
      <c r="E17" s="209">
        <v>7.9350770962217265E-2</v>
      </c>
      <c r="F17" s="209">
        <f t="shared" si="0"/>
        <v>9.3507709622172586E-3</v>
      </c>
      <c r="G17" s="209">
        <f t="shared" si="1"/>
        <v>13.358244231738951</v>
      </c>
      <c r="I17" s="13"/>
    </row>
    <row r="18" spans="1:9" ht="39.6" customHeight="1" x14ac:dyDescent="0.25">
      <c r="A18" s="37"/>
      <c r="B18" s="49" t="s">
        <v>26</v>
      </c>
      <c r="C18" s="26" t="s">
        <v>9</v>
      </c>
      <c r="D18" s="209">
        <v>2.1500000000000004</v>
      </c>
      <c r="E18" s="209">
        <v>2.4372022509823879</v>
      </c>
      <c r="F18" s="209">
        <f t="shared" si="0"/>
        <v>0.2872022509823875</v>
      </c>
      <c r="G18" s="209">
        <f t="shared" si="1"/>
        <v>13.358244231738951</v>
      </c>
      <c r="I18" s="13"/>
    </row>
    <row r="19" spans="1:9" ht="39.6" customHeight="1" x14ac:dyDescent="0.25">
      <c r="A19" s="37"/>
      <c r="B19" s="49" t="s">
        <v>27</v>
      </c>
      <c r="C19" s="26" t="s">
        <v>9</v>
      </c>
      <c r="D19" s="209">
        <v>0.06</v>
      </c>
      <c r="E19" s="209">
        <v>6.8014946539043372E-2</v>
      </c>
      <c r="F19" s="209">
        <f t="shared" si="0"/>
        <v>8.0149465390433744E-3</v>
      </c>
      <c r="G19" s="209">
        <f t="shared" si="1"/>
        <v>13.358244231738951</v>
      </c>
      <c r="I19" s="13"/>
    </row>
    <row r="20" spans="1:9" ht="39.6" customHeight="1" x14ac:dyDescent="0.25">
      <c r="A20" s="37"/>
      <c r="B20" s="49" t="s">
        <v>28</v>
      </c>
      <c r="C20" s="26" t="s">
        <v>9</v>
      </c>
      <c r="D20" s="209">
        <v>2.38</v>
      </c>
      <c r="E20" s="209">
        <v>2.6206757852009135</v>
      </c>
      <c r="F20" s="209">
        <f t="shared" si="0"/>
        <v>0.24067578520091359</v>
      </c>
      <c r="G20" s="209">
        <f t="shared" si="1"/>
        <v>10.112427949618223</v>
      </c>
      <c r="I20" s="13"/>
    </row>
    <row r="21" spans="1:9" ht="39.6" customHeight="1" x14ac:dyDescent="0.25">
      <c r="A21" s="37"/>
      <c r="B21" s="17" t="s">
        <v>29</v>
      </c>
      <c r="C21" s="26" t="s">
        <v>9</v>
      </c>
      <c r="D21" s="209">
        <v>5.63</v>
      </c>
      <c r="E21" s="209">
        <v>6.63</v>
      </c>
      <c r="F21" s="209">
        <f t="shared" si="0"/>
        <v>1</v>
      </c>
      <c r="G21" s="209">
        <f t="shared" si="1"/>
        <v>17.761989342806402</v>
      </c>
      <c r="I21" s="13"/>
    </row>
    <row r="22" spans="1:9" ht="39.6" customHeight="1" x14ac:dyDescent="0.25">
      <c r="A22" s="37"/>
      <c r="B22" s="49" t="s">
        <v>30</v>
      </c>
      <c r="C22" s="26" t="s">
        <v>9</v>
      </c>
      <c r="D22" s="209">
        <v>9.8800000000000008</v>
      </c>
      <c r="E22" s="209">
        <v>13.816107304904172</v>
      </c>
      <c r="F22" s="209">
        <f t="shared" si="0"/>
        <v>3.936107304904171</v>
      </c>
      <c r="G22" s="209">
        <f t="shared" si="1"/>
        <v>39.839142762187976</v>
      </c>
      <c r="I22" s="13"/>
    </row>
    <row r="23" spans="1:9" ht="39.6" customHeight="1" x14ac:dyDescent="0.25">
      <c r="A23" s="37"/>
      <c r="B23" s="49" t="s">
        <v>31</v>
      </c>
      <c r="C23" s="26" t="s">
        <v>9</v>
      </c>
      <c r="D23" s="209">
        <v>1.5</v>
      </c>
      <c r="E23" s="209">
        <v>2.562798489307462</v>
      </c>
      <c r="F23" s="209">
        <f t="shared" si="0"/>
        <v>1.062798489307462</v>
      </c>
      <c r="G23" s="209">
        <f t="shared" si="1"/>
        <v>70.853232620497465</v>
      </c>
      <c r="I23" s="13"/>
    </row>
    <row r="24" spans="1:9" s="16" customFormat="1" ht="39.6" customHeight="1" x14ac:dyDescent="0.2">
      <c r="A24" s="39"/>
      <c r="B24" s="49" t="s">
        <v>32</v>
      </c>
      <c r="C24" s="26" t="s">
        <v>9</v>
      </c>
      <c r="D24" s="209">
        <v>0.2</v>
      </c>
      <c r="E24" s="209">
        <v>0.2</v>
      </c>
      <c r="F24" s="209">
        <f t="shared" si="0"/>
        <v>0</v>
      </c>
      <c r="G24" s="209">
        <f t="shared" si="1"/>
        <v>0</v>
      </c>
      <c r="H24" s="15"/>
      <c r="I24" s="176"/>
    </row>
    <row r="25" spans="1:9" x14ac:dyDescent="0.25">
      <c r="D25" s="211"/>
      <c r="E25" s="211"/>
      <c r="F25" s="211"/>
      <c r="G25" s="211"/>
    </row>
    <row r="26" spans="1:9" s="32" customFormat="1" ht="39" customHeight="1" x14ac:dyDescent="0.25">
      <c r="A26" s="40"/>
      <c r="B26" s="49" t="s">
        <v>34</v>
      </c>
      <c r="C26" s="40" t="s">
        <v>9</v>
      </c>
      <c r="D26" s="209">
        <v>0.5</v>
      </c>
      <c r="E26" s="209">
        <v>0.5</v>
      </c>
      <c r="F26" s="209">
        <f t="shared" si="0"/>
        <v>0</v>
      </c>
      <c r="G26" s="209">
        <f t="shared" si="1"/>
        <v>0</v>
      </c>
      <c r="H26" s="18"/>
    </row>
    <row r="27" spans="1:9" s="34" customFormat="1" ht="39" customHeight="1" x14ac:dyDescent="0.2">
      <c r="A27" s="41"/>
      <c r="B27" s="49" t="s">
        <v>33</v>
      </c>
      <c r="C27" s="26" t="s">
        <v>10</v>
      </c>
      <c r="D27" s="209">
        <v>109</v>
      </c>
      <c r="E27" s="209">
        <v>159</v>
      </c>
      <c r="F27" s="209">
        <f t="shared" si="0"/>
        <v>50</v>
      </c>
      <c r="G27" s="209">
        <f t="shared" si="1"/>
        <v>45.871559633027516</v>
      </c>
      <c r="H27" s="15"/>
    </row>
    <row r="28" spans="1:9" x14ac:dyDescent="0.25">
      <c r="D28" s="211"/>
      <c r="E28" s="212"/>
      <c r="F28" s="213"/>
      <c r="G28" s="213"/>
    </row>
  </sheetData>
  <mergeCells count="4">
    <mergeCell ref="A2:F2"/>
    <mergeCell ref="A3:F3"/>
    <mergeCell ref="A6:F6"/>
    <mergeCell ref="A4:F5"/>
  </mergeCells>
  <printOptions horizontalCentered="1"/>
  <pageMargins left="0" right="0" top="0" bottom="0" header="0" footer="0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I29"/>
  <sheetViews>
    <sheetView tabSelected="1" zoomScale="60" zoomScaleNormal="60" zoomScaleSheetLayoutView="75" workbookViewId="0">
      <selection activeCell="P17" sqref="P17"/>
    </sheetView>
  </sheetViews>
  <sheetFormatPr defaultColWidth="10.28515625" defaultRowHeight="15" x14ac:dyDescent="0.25"/>
  <cols>
    <col min="1" max="1" width="5.5703125" style="14" customWidth="1"/>
    <col min="2" max="2" width="74.28515625" style="14" customWidth="1"/>
    <col min="3" max="3" width="18" style="19" customWidth="1"/>
    <col min="4" max="4" width="21.28515625" style="42" customWidth="1"/>
    <col min="5" max="5" width="21.28515625" style="13" customWidth="1"/>
    <col min="6" max="6" width="21.28515625" style="25" customWidth="1"/>
    <col min="7" max="7" width="21.28515625" style="14" customWidth="1"/>
    <col min="8" max="12" width="10.7109375" style="14" customWidth="1"/>
    <col min="13" max="16384" width="10.28515625" style="14"/>
  </cols>
  <sheetData>
    <row r="1" spans="1:9" ht="18.75" x14ac:dyDescent="0.3">
      <c r="F1" s="5" t="s">
        <v>117</v>
      </c>
    </row>
    <row r="2" spans="1:9" s="6" customFormat="1" ht="21" customHeight="1" x14ac:dyDescent="0.3">
      <c r="A2" s="218" t="s">
        <v>0</v>
      </c>
      <c r="B2" s="218"/>
      <c r="C2" s="218"/>
      <c r="D2" s="218"/>
      <c r="E2" s="218"/>
      <c r="F2" s="218"/>
    </row>
    <row r="3" spans="1:9" s="6" customFormat="1" ht="21" customHeight="1" x14ac:dyDescent="0.3">
      <c r="A3" s="218" t="s">
        <v>11</v>
      </c>
      <c r="B3" s="218"/>
      <c r="C3" s="218"/>
      <c r="D3" s="218"/>
      <c r="E3" s="218"/>
      <c r="F3" s="218"/>
    </row>
    <row r="4" spans="1:9" s="6" customFormat="1" ht="21" customHeight="1" x14ac:dyDescent="0.25">
      <c r="A4" s="216" t="s">
        <v>116</v>
      </c>
      <c r="B4" s="216"/>
      <c r="C4" s="216"/>
      <c r="D4" s="216"/>
      <c r="E4" s="216"/>
      <c r="F4" s="216"/>
      <c r="I4" s="6" t="s">
        <v>12</v>
      </c>
    </row>
    <row r="5" spans="1:9" s="6" customFormat="1" ht="21" customHeight="1" x14ac:dyDescent="0.25">
      <c r="A5" s="217"/>
      <c r="B5" s="217"/>
      <c r="C5" s="217"/>
      <c r="D5" s="217"/>
      <c r="E5" s="217"/>
      <c r="F5" s="217"/>
    </row>
    <row r="6" spans="1:9" s="6" customFormat="1" ht="18.75" customHeight="1" x14ac:dyDescent="0.3">
      <c r="A6" s="214" t="s">
        <v>13</v>
      </c>
      <c r="B6" s="214"/>
      <c r="C6" s="214"/>
      <c r="D6" s="214"/>
      <c r="E6" s="214"/>
      <c r="F6" s="214"/>
    </row>
    <row r="7" spans="1:9" s="6" customFormat="1" x14ac:dyDescent="0.25">
      <c r="A7" s="14"/>
      <c r="B7" s="14"/>
      <c r="C7" s="18">
        <f>10905.7+19392.2</f>
        <v>30297.9</v>
      </c>
      <c r="D7" s="42"/>
      <c r="E7" s="13"/>
      <c r="F7" s="25"/>
    </row>
    <row r="8" spans="1:9" s="6" customFormat="1" ht="48.75" customHeight="1" x14ac:dyDescent="0.25">
      <c r="A8" s="36"/>
      <c r="B8" s="23" t="s">
        <v>4</v>
      </c>
      <c r="C8" s="21" t="s">
        <v>5</v>
      </c>
      <c r="D8" s="35" t="s">
        <v>15</v>
      </c>
      <c r="E8" s="35" t="s">
        <v>16</v>
      </c>
      <c r="F8" s="35" t="s">
        <v>17</v>
      </c>
      <c r="G8" s="35" t="s">
        <v>18</v>
      </c>
    </row>
    <row r="9" spans="1:9" s="6" customFormat="1" ht="40.9" customHeight="1" x14ac:dyDescent="0.25">
      <c r="A9" s="22" t="s">
        <v>6</v>
      </c>
      <c r="B9" s="31" t="s">
        <v>14</v>
      </c>
      <c r="C9" s="11" t="s">
        <v>8</v>
      </c>
      <c r="D9" s="20">
        <f>SUM(D10:D20)</f>
        <v>36.800000000000004</v>
      </c>
      <c r="E9" s="20">
        <f>SUM(E10:E20)-0.01</f>
        <v>47.656886777732765</v>
      </c>
      <c r="F9" s="20">
        <f>E9-D9</f>
        <v>10.856886777732761</v>
      </c>
      <c r="G9" s="20">
        <f>E9/D9*100-100</f>
        <v>29.502409722099912</v>
      </c>
    </row>
    <row r="10" spans="1:9" s="6" customFormat="1" ht="41.45" customHeight="1" x14ac:dyDescent="0.25">
      <c r="A10" s="47"/>
      <c r="B10" s="49" t="s">
        <v>35</v>
      </c>
      <c r="C10" s="26" t="s">
        <v>8</v>
      </c>
      <c r="D10" s="209">
        <v>5.65</v>
      </c>
      <c r="E10" s="209">
        <v>10.53453020893482</v>
      </c>
      <c r="F10" s="209">
        <f t="shared" ref="F10:F22" si="0">E10-D10</f>
        <v>4.8845302089348195</v>
      </c>
      <c r="G10" s="209">
        <f t="shared" ref="G10:G22" si="1">E10/D10*100-100</f>
        <v>86.451862105041045</v>
      </c>
      <c r="I10" s="13"/>
    </row>
    <row r="11" spans="1:9" s="6" customFormat="1" ht="41.45" customHeight="1" x14ac:dyDescent="0.25">
      <c r="A11" s="47"/>
      <c r="B11" s="49" t="s">
        <v>19</v>
      </c>
      <c r="C11" s="26" t="s">
        <v>8</v>
      </c>
      <c r="D11" s="209">
        <v>6.21</v>
      </c>
      <c r="E11" s="209">
        <v>6.33</v>
      </c>
      <c r="F11" s="209">
        <f t="shared" si="0"/>
        <v>0.12000000000000011</v>
      </c>
      <c r="G11" s="209">
        <f t="shared" si="1"/>
        <v>1.9323671497584627</v>
      </c>
      <c r="I11" s="13"/>
    </row>
    <row r="12" spans="1:9" s="43" customFormat="1" ht="41.45" customHeight="1" x14ac:dyDescent="0.25">
      <c r="A12" s="48"/>
      <c r="B12" s="49" t="s">
        <v>21</v>
      </c>
      <c r="C12" s="26" t="s">
        <v>9</v>
      </c>
      <c r="D12" s="209">
        <v>5.42</v>
      </c>
      <c r="E12" s="209">
        <v>7.0403849094032838</v>
      </c>
      <c r="F12" s="209">
        <f t="shared" si="0"/>
        <v>1.6203849094032838</v>
      </c>
      <c r="G12" s="209">
        <f t="shared" si="1"/>
        <v>29.896400542495996</v>
      </c>
      <c r="I12" s="13"/>
    </row>
    <row r="13" spans="1:9" s="43" customFormat="1" ht="41.45" customHeight="1" x14ac:dyDescent="0.25">
      <c r="A13" s="48"/>
      <c r="B13" s="49" t="s">
        <v>36</v>
      </c>
      <c r="C13" s="26" t="s">
        <v>9</v>
      </c>
      <c r="D13" s="209">
        <v>0.75</v>
      </c>
      <c r="E13" s="209">
        <v>1.1237645792073565</v>
      </c>
      <c r="F13" s="209">
        <f t="shared" si="0"/>
        <v>0.37376457920735651</v>
      </c>
      <c r="G13" s="209">
        <f t="shared" si="1"/>
        <v>49.835277227647538</v>
      </c>
      <c r="I13" s="13"/>
    </row>
    <row r="14" spans="1:9" s="43" customFormat="1" ht="41.45" customHeight="1" x14ac:dyDescent="0.25">
      <c r="A14" s="48"/>
      <c r="B14" s="49" t="s">
        <v>23</v>
      </c>
      <c r="C14" s="26" t="s">
        <v>9</v>
      </c>
      <c r="D14" s="209">
        <v>0.76</v>
      </c>
      <c r="E14" s="209">
        <v>1.1387481069301213</v>
      </c>
      <c r="F14" s="209">
        <f t="shared" si="0"/>
        <v>0.37874810693012129</v>
      </c>
      <c r="G14" s="209">
        <f t="shared" si="1"/>
        <v>49.835277227647538</v>
      </c>
      <c r="I14" s="13"/>
    </row>
    <row r="15" spans="1:9" s="43" customFormat="1" ht="41.45" customHeight="1" x14ac:dyDescent="0.25">
      <c r="A15" s="48"/>
      <c r="B15" s="49" t="s">
        <v>25</v>
      </c>
      <c r="C15" s="26" t="s">
        <v>9</v>
      </c>
      <c r="D15" s="209">
        <v>0.45</v>
      </c>
      <c r="E15" s="209">
        <v>0.51011209904282528</v>
      </c>
      <c r="F15" s="209">
        <f t="shared" si="0"/>
        <v>6.0112099042825273E-2</v>
      </c>
      <c r="G15" s="209">
        <f t="shared" si="1"/>
        <v>13.358244231738951</v>
      </c>
      <c r="I15" s="13"/>
    </row>
    <row r="16" spans="1:9" s="43" customFormat="1" ht="41.45" customHeight="1" x14ac:dyDescent="0.25">
      <c r="A16" s="48"/>
      <c r="B16" s="49" t="s">
        <v>26</v>
      </c>
      <c r="C16" s="26" t="s">
        <v>9</v>
      </c>
      <c r="D16" s="209">
        <v>9.85</v>
      </c>
      <c r="E16" s="209">
        <v>11.165787056826286</v>
      </c>
      <c r="F16" s="209">
        <f t="shared" si="0"/>
        <v>1.3157870568262862</v>
      </c>
      <c r="G16" s="209">
        <f t="shared" si="1"/>
        <v>13.358244231738951</v>
      </c>
      <c r="I16" s="13"/>
    </row>
    <row r="17" spans="1:9" s="43" customFormat="1" ht="41.45" customHeight="1" x14ac:dyDescent="0.25">
      <c r="A17" s="48"/>
      <c r="B17" s="49" t="s">
        <v>27</v>
      </c>
      <c r="C17" s="26" t="s">
        <v>9</v>
      </c>
      <c r="D17" s="209">
        <v>0.38</v>
      </c>
      <c r="E17" s="209">
        <v>0.43076132808060807</v>
      </c>
      <c r="F17" s="209">
        <f t="shared" si="0"/>
        <v>5.076132808060807E-2</v>
      </c>
      <c r="G17" s="209">
        <f t="shared" si="1"/>
        <v>13.358244231738965</v>
      </c>
      <c r="I17" s="13"/>
    </row>
    <row r="18" spans="1:9" s="43" customFormat="1" ht="41.45" customHeight="1" x14ac:dyDescent="0.25">
      <c r="A18" s="48"/>
      <c r="B18" s="49" t="s">
        <v>29</v>
      </c>
      <c r="C18" s="26" t="s">
        <v>9</v>
      </c>
      <c r="D18" s="209">
        <v>5.63</v>
      </c>
      <c r="E18" s="209">
        <v>6.63</v>
      </c>
      <c r="F18" s="209">
        <f t="shared" si="0"/>
        <v>1</v>
      </c>
      <c r="G18" s="209">
        <f t="shared" si="1"/>
        <v>17.761989342806402</v>
      </c>
      <c r="I18" s="13"/>
    </row>
    <row r="19" spans="1:9" s="43" customFormat="1" ht="41.45" customHeight="1" x14ac:dyDescent="0.25">
      <c r="A19" s="48"/>
      <c r="B19" s="49" t="s">
        <v>31</v>
      </c>
      <c r="C19" s="26" t="s">
        <v>9</v>
      </c>
      <c r="D19" s="209">
        <v>1.5</v>
      </c>
      <c r="E19" s="209">
        <v>2.562798489307462</v>
      </c>
      <c r="F19" s="209">
        <f t="shared" si="0"/>
        <v>1.062798489307462</v>
      </c>
      <c r="G19" s="209">
        <f t="shared" si="1"/>
        <v>70.853232620497465</v>
      </c>
      <c r="I19" s="13"/>
    </row>
    <row r="20" spans="1:9" s="43" customFormat="1" ht="41.45" customHeight="1" x14ac:dyDescent="0.25">
      <c r="A20" s="48"/>
      <c r="B20" s="49" t="s">
        <v>32</v>
      </c>
      <c r="C20" s="26" t="s">
        <v>9</v>
      </c>
      <c r="D20" s="12">
        <v>0.2</v>
      </c>
      <c r="E20" s="12">
        <v>0.2</v>
      </c>
      <c r="F20" s="12">
        <f t="shared" si="0"/>
        <v>0</v>
      </c>
      <c r="G20" s="12">
        <f t="shared" si="1"/>
        <v>0</v>
      </c>
      <c r="I20" s="13"/>
    </row>
    <row r="21" spans="1:9" s="43" customFormat="1" ht="24" customHeight="1" x14ac:dyDescent="0.25">
      <c r="A21" s="44"/>
      <c r="B21" s="45"/>
      <c r="C21" s="29"/>
      <c r="D21" s="46"/>
      <c r="E21" s="46"/>
      <c r="F21" s="46"/>
      <c r="G21" s="46"/>
    </row>
    <row r="22" spans="1:9" s="32" customFormat="1" ht="38.25" customHeight="1" x14ac:dyDescent="0.25">
      <c r="A22" s="33"/>
      <c r="B22" s="49" t="s">
        <v>34</v>
      </c>
      <c r="C22" s="26" t="s">
        <v>9</v>
      </c>
      <c r="D22" s="12">
        <v>0.5</v>
      </c>
      <c r="E22" s="12">
        <v>0.5</v>
      </c>
      <c r="F22" s="12">
        <f t="shared" si="0"/>
        <v>0</v>
      </c>
      <c r="G22" s="12">
        <f t="shared" si="1"/>
        <v>0</v>
      </c>
    </row>
    <row r="23" spans="1:9" x14ac:dyDescent="0.25">
      <c r="B23" s="27"/>
    </row>
    <row r="24" spans="1:9" x14ac:dyDescent="0.25">
      <c r="B24" s="27"/>
    </row>
    <row r="25" spans="1:9" x14ac:dyDescent="0.25">
      <c r="B25" s="27"/>
    </row>
    <row r="26" spans="1:9" x14ac:dyDescent="0.25">
      <c r="B26" s="27"/>
    </row>
    <row r="27" spans="1:9" x14ac:dyDescent="0.25">
      <c r="B27" s="27"/>
    </row>
    <row r="28" spans="1:9" x14ac:dyDescent="0.25">
      <c r="B28" s="27"/>
    </row>
    <row r="29" spans="1:9" x14ac:dyDescent="0.25">
      <c r="B29" s="27"/>
    </row>
  </sheetData>
  <mergeCells count="4">
    <mergeCell ref="A2:F2"/>
    <mergeCell ref="A3:F3"/>
    <mergeCell ref="A6:F6"/>
    <mergeCell ref="A4:F5"/>
  </mergeCells>
  <printOptions horizontalCentered="1"/>
  <pageMargins left="0" right="0" top="0" bottom="0" header="0" footer="0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44"/>
  <sheetViews>
    <sheetView topLeftCell="A16" workbookViewId="0">
      <selection activeCell="D15" sqref="D15"/>
    </sheetView>
  </sheetViews>
  <sheetFormatPr defaultColWidth="8.85546875" defaultRowHeight="15" x14ac:dyDescent="0.25"/>
  <cols>
    <col min="1" max="1" width="25.7109375" style="52" customWidth="1"/>
    <col min="2" max="2" width="28.28515625" style="52" customWidth="1"/>
    <col min="3" max="3" width="12.7109375" style="52" customWidth="1"/>
    <col min="4" max="4" width="15.7109375" style="52" customWidth="1"/>
    <col min="5" max="5" width="15.42578125" style="52" customWidth="1"/>
    <col min="6" max="11" width="13.28515625" style="52" customWidth="1"/>
    <col min="12" max="14" width="12" style="52" customWidth="1"/>
    <col min="15" max="15" width="12.7109375" style="52" customWidth="1"/>
    <col min="16" max="16" width="12" style="52" customWidth="1"/>
    <col min="17" max="17" width="12.7109375" style="52" customWidth="1"/>
    <col min="18" max="18" width="12" style="52" customWidth="1"/>
    <col min="19" max="20" width="11.7109375" style="52" customWidth="1"/>
    <col min="21" max="27" width="8.85546875" style="52"/>
    <col min="28" max="16384" width="8.85546875" style="53"/>
  </cols>
  <sheetData>
    <row r="2" spans="1:27" x14ac:dyDescent="0.25">
      <c r="A2" s="50" t="s">
        <v>40</v>
      </c>
      <c r="B2" s="51"/>
    </row>
    <row r="3" spans="1:27" s="54" customFormat="1" ht="12" x14ac:dyDescent="0.2">
      <c r="A3" s="54" t="s">
        <v>37</v>
      </c>
      <c r="B3" s="55">
        <v>30017.3</v>
      </c>
      <c r="D3" s="51"/>
    </row>
    <row r="4" spans="1:27" s="54" customFormat="1" ht="12" x14ac:dyDescent="0.2">
      <c r="A4" s="54" t="s">
        <v>38</v>
      </c>
      <c r="B4" s="55">
        <v>2021.4</v>
      </c>
      <c r="D4" s="51"/>
    </row>
    <row r="5" spans="1:27" s="54" customFormat="1" ht="12" x14ac:dyDescent="0.2">
      <c r="A5" s="54" t="s">
        <v>39</v>
      </c>
      <c r="B5" s="55">
        <v>0</v>
      </c>
      <c r="D5" s="56"/>
    </row>
    <row r="6" spans="1:27" s="54" customFormat="1" ht="12" x14ac:dyDescent="0.2">
      <c r="B6" s="57">
        <f>SUM(B3:B5)</f>
        <v>32038.7</v>
      </c>
      <c r="D6" s="56"/>
    </row>
    <row r="7" spans="1:27" s="54" customFormat="1" ht="12" x14ac:dyDescent="0.2">
      <c r="D7" s="58"/>
      <c r="E7" s="59"/>
    </row>
    <row r="8" spans="1:27" x14ac:dyDescent="0.25">
      <c r="A8" s="60"/>
    </row>
    <row r="9" spans="1:27" s="67" customFormat="1" ht="39" customHeight="1" x14ac:dyDescent="0.2">
      <c r="A9" s="61" t="s">
        <v>41</v>
      </c>
      <c r="B9" s="62" t="s">
        <v>42</v>
      </c>
      <c r="C9" s="62" t="s">
        <v>43</v>
      </c>
      <c r="D9" s="63" t="s">
        <v>44</v>
      </c>
      <c r="E9" s="63" t="s">
        <v>45</v>
      </c>
      <c r="F9" s="63" t="s">
        <v>46</v>
      </c>
      <c r="G9" s="63" t="s">
        <v>47</v>
      </c>
      <c r="H9" s="63" t="s">
        <v>48</v>
      </c>
      <c r="I9" s="63" t="s">
        <v>49</v>
      </c>
      <c r="J9" s="63" t="s">
        <v>50</v>
      </c>
      <c r="K9" s="63" t="s">
        <v>51</v>
      </c>
      <c r="L9" s="63" t="s">
        <v>52</v>
      </c>
      <c r="M9" s="63" t="s">
        <v>53</v>
      </c>
      <c r="N9" s="63" t="s">
        <v>54</v>
      </c>
      <c r="O9" s="63" t="s">
        <v>55</v>
      </c>
      <c r="P9" s="63" t="s">
        <v>56</v>
      </c>
      <c r="Q9" s="64" t="s">
        <v>57</v>
      </c>
      <c r="R9" s="64" t="s">
        <v>58</v>
      </c>
      <c r="S9" s="63" t="s">
        <v>59</v>
      </c>
      <c r="T9" s="65" t="s">
        <v>18</v>
      </c>
      <c r="U9" s="66"/>
      <c r="V9" s="66"/>
      <c r="W9" s="66"/>
      <c r="X9" s="66"/>
      <c r="Y9" s="66"/>
      <c r="Z9" s="66"/>
      <c r="AA9" s="66"/>
    </row>
    <row r="10" spans="1:27" s="67" customFormat="1" ht="12" x14ac:dyDescent="0.2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  <c r="R10" s="70"/>
      <c r="S10" s="71"/>
      <c r="T10" s="72"/>
      <c r="U10" s="66"/>
      <c r="V10" s="66"/>
      <c r="W10" s="66"/>
      <c r="X10" s="66"/>
      <c r="Y10" s="66"/>
      <c r="Z10" s="66"/>
      <c r="AA10" s="66"/>
    </row>
    <row r="11" spans="1:27" s="75" customFormat="1" ht="12" customHeight="1" x14ac:dyDescent="0.2">
      <c r="A11" s="234" t="s">
        <v>60</v>
      </c>
      <c r="B11" s="73" t="s">
        <v>61</v>
      </c>
      <c r="C11" s="73">
        <v>1</v>
      </c>
      <c r="D11" s="73">
        <v>8000</v>
      </c>
      <c r="E11" s="73">
        <f>C11*D11</f>
        <v>8000</v>
      </c>
      <c r="F11" s="73"/>
      <c r="G11" s="73"/>
      <c r="H11" s="73">
        <f>E11+F11+G11</f>
        <v>8000</v>
      </c>
      <c r="I11" s="73">
        <f>13890*30.2%+(H11-13890)*15%</f>
        <v>3311.2799999999997</v>
      </c>
      <c r="J11" s="219">
        <v>8000</v>
      </c>
      <c r="K11" s="219">
        <f>36000/12</f>
        <v>3000</v>
      </c>
      <c r="L11" s="73">
        <f>(3300+5500+1540)/12</f>
        <v>861.66666666666663</v>
      </c>
      <c r="M11" s="219">
        <f>C40</f>
        <v>80782.5</v>
      </c>
      <c r="N11" s="219">
        <f>H11+H12+H13+H14+H15+I11+I12+I13+I14+I15+J11+K11+L11+L12+L13+L14+L15+M11</f>
        <v>303942.23333333334</v>
      </c>
      <c r="O11" s="219">
        <f>N11*95%*1%</f>
        <v>2887.4512166666664</v>
      </c>
      <c r="P11" s="219">
        <f>(N11+O11)*10%</f>
        <v>30682.968455000002</v>
      </c>
      <c r="Q11" s="222">
        <f>(N11+O11+P11)/B6</f>
        <v>10.53453020893482</v>
      </c>
      <c r="R11" s="222">
        <v>5.65</v>
      </c>
      <c r="S11" s="225">
        <f>Q11-R11</f>
        <v>4.8845302089348195</v>
      </c>
      <c r="T11" s="228">
        <f>Q11/R11*100-100</f>
        <v>86.451862105041045</v>
      </c>
      <c r="U11" s="74"/>
      <c r="V11" s="74"/>
      <c r="W11" s="74"/>
      <c r="X11" s="74"/>
      <c r="Y11" s="74"/>
      <c r="Z11" s="74"/>
      <c r="AA11" s="74"/>
    </row>
    <row r="12" spans="1:27" s="75" customFormat="1" ht="14.45" customHeight="1" x14ac:dyDescent="0.2">
      <c r="A12" s="234"/>
      <c r="B12" s="73" t="s">
        <v>62</v>
      </c>
      <c r="C12" s="73">
        <v>1</v>
      </c>
      <c r="D12" s="73">
        <v>54000</v>
      </c>
      <c r="E12" s="73">
        <f t="shared" ref="E12:E15" si="0">C12*D12</f>
        <v>54000</v>
      </c>
      <c r="F12" s="73"/>
      <c r="G12" s="73">
        <f>E12/12</f>
        <v>4500</v>
      </c>
      <c r="H12" s="73">
        <f t="shared" ref="H12:H15" si="1">E12+F12+G12</f>
        <v>58500</v>
      </c>
      <c r="I12" s="73">
        <f t="shared" ref="I12" si="2">13890*30.2%+(H12-13890)*15%</f>
        <v>10886.279999999999</v>
      </c>
      <c r="J12" s="220"/>
      <c r="K12" s="220"/>
      <c r="L12" s="73">
        <f>C12*(3300+5700)/12</f>
        <v>750</v>
      </c>
      <c r="M12" s="220"/>
      <c r="N12" s="220"/>
      <c r="O12" s="220"/>
      <c r="P12" s="220"/>
      <c r="Q12" s="223"/>
      <c r="R12" s="223"/>
      <c r="S12" s="226"/>
      <c r="T12" s="229"/>
      <c r="U12" s="74"/>
      <c r="V12" s="74"/>
      <c r="W12" s="74"/>
      <c r="X12" s="74"/>
      <c r="Y12" s="74"/>
      <c r="Z12" s="74"/>
      <c r="AA12" s="74"/>
    </row>
    <row r="13" spans="1:27" s="75" customFormat="1" ht="14.45" customHeight="1" x14ac:dyDescent="0.2">
      <c r="A13" s="234"/>
      <c r="B13" s="73" t="s">
        <v>63</v>
      </c>
      <c r="C13" s="73">
        <v>1</v>
      </c>
      <c r="D13" s="73">
        <v>40000</v>
      </c>
      <c r="E13" s="73">
        <f t="shared" si="0"/>
        <v>40000</v>
      </c>
      <c r="F13" s="73"/>
      <c r="G13" s="73">
        <f>E13/12</f>
        <v>3333.3333333333335</v>
      </c>
      <c r="H13" s="73">
        <f>E13+F13+G13</f>
        <v>43333.333333333336</v>
      </c>
      <c r="I13" s="73">
        <f>C13*13890*30.2%+(H13-13890*C13)*15%</f>
        <v>8611.2799999999988</v>
      </c>
      <c r="J13" s="220"/>
      <c r="K13" s="220"/>
      <c r="L13" s="73">
        <f>C13*5700/12</f>
        <v>475</v>
      </c>
      <c r="M13" s="220"/>
      <c r="N13" s="220"/>
      <c r="O13" s="220"/>
      <c r="P13" s="220"/>
      <c r="Q13" s="223"/>
      <c r="R13" s="223"/>
      <c r="S13" s="226"/>
      <c r="T13" s="229"/>
      <c r="U13" s="74"/>
      <c r="V13" s="74"/>
      <c r="W13" s="74"/>
      <c r="X13" s="74"/>
      <c r="Y13" s="74"/>
      <c r="Z13" s="74"/>
      <c r="AA13" s="74"/>
    </row>
    <row r="14" spans="1:27" s="75" customFormat="1" ht="14.45" customHeight="1" x14ac:dyDescent="0.2">
      <c r="A14" s="234"/>
      <c r="B14" s="73" t="s">
        <v>63</v>
      </c>
      <c r="C14" s="73">
        <v>1</v>
      </c>
      <c r="D14" s="73">
        <v>40000</v>
      </c>
      <c r="E14" s="73">
        <f t="shared" si="0"/>
        <v>40000</v>
      </c>
      <c r="F14" s="73"/>
      <c r="G14" s="73">
        <f>E14/12</f>
        <v>3333.3333333333335</v>
      </c>
      <c r="H14" s="73">
        <f>E14+F14+G14</f>
        <v>43333.333333333336</v>
      </c>
      <c r="I14" s="73">
        <f>C14*13890*30.2%+(H14-13890*C14)*15%</f>
        <v>8611.2799999999988</v>
      </c>
      <c r="J14" s="220"/>
      <c r="K14" s="220"/>
      <c r="L14" s="73">
        <f t="shared" ref="L14:L15" si="3">C14*5700/12</f>
        <v>475</v>
      </c>
      <c r="M14" s="220"/>
      <c r="N14" s="220"/>
      <c r="O14" s="220"/>
      <c r="P14" s="220"/>
      <c r="Q14" s="223"/>
      <c r="R14" s="223"/>
      <c r="S14" s="226"/>
      <c r="T14" s="229"/>
      <c r="U14" s="74"/>
      <c r="V14" s="74"/>
      <c r="W14" s="74"/>
      <c r="X14" s="74"/>
      <c r="Y14" s="74"/>
      <c r="Z14" s="74"/>
      <c r="AA14" s="74"/>
    </row>
    <row r="15" spans="1:27" s="75" customFormat="1" ht="14.45" customHeight="1" x14ac:dyDescent="0.2">
      <c r="A15" s="234"/>
      <c r="B15" s="73" t="s">
        <v>63</v>
      </c>
      <c r="C15" s="73">
        <v>1</v>
      </c>
      <c r="D15" s="76">
        <v>18000</v>
      </c>
      <c r="E15" s="73">
        <f t="shared" si="0"/>
        <v>18000</v>
      </c>
      <c r="F15" s="73"/>
      <c r="G15" s="73">
        <f>E15/12</f>
        <v>1500</v>
      </c>
      <c r="H15" s="73">
        <f t="shared" si="1"/>
        <v>19500</v>
      </c>
      <c r="I15" s="73">
        <f>13890*30.2%+(H15-13890)*15%</f>
        <v>5036.28</v>
      </c>
      <c r="J15" s="221"/>
      <c r="K15" s="221"/>
      <c r="L15" s="73">
        <f t="shared" si="3"/>
        <v>475</v>
      </c>
      <c r="M15" s="221"/>
      <c r="N15" s="221"/>
      <c r="O15" s="221"/>
      <c r="P15" s="221"/>
      <c r="Q15" s="224"/>
      <c r="R15" s="224"/>
      <c r="S15" s="227"/>
      <c r="T15" s="230"/>
      <c r="U15" s="74"/>
      <c r="V15" s="74"/>
      <c r="W15" s="74"/>
      <c r="X15" s="74"/>
      <c r="Y15" s="74"/>
      <c r="Z15" s="74"/>
      <c r="AA15" s="74"/>
    </row>
    <row r="16" spans="1:27" s="67" customFormat="1" ht="14.45" customHeight="1" x14ac:dyDescent="0.2">
      <c r="A16" s="77"/>
      <c r="B16" s="78"/>
      <c r="C16" s="78"/>
      <c r="D16" s="78"/>
      <c r="E16" s="78"/>
      <c r="F16" s="78"/>
      <c r="G16" s="78"/>
      <c r="H16" s="78"/>
      <c r="I16" s="78"/>
      <c r="J16" s="79"/>
      <c r="K16" s="78"/>
      <c r="L16" s="78"/>
      <c r="M16" s="79"/>
      <c r="N16" s="79"/>
      <c r="O16" s="79"/>
      <c r="P16" s="79"/>
      <c r="Q16" s="80"/>
      <c r="R16" s="80"/>
      <c r="S16" s="81"/>
      <c r="T16" s="82"/>
      <c r="U16" s="66"/>
      <c r="V16" s="66"/>
      <c r="W16" s="66"/>
      <c r="X16" s="66"/>
      <c r="Y16" s="66"/>
      <c r="Z16" s="66"/>
      <c r="AA16" s="66"/>
    </row>
    <row r="17" spans="1:27" s="75" customFormat="1" ht="14.45" customHeight="1" x14ac:dyDescent="0.2">
      <c r="A17" s="77" t="s">
        <v>31</v>
      </c>
      <c r="B17" s="79" t="s">
        <v>64</v>
      </c>
      <c r="C17" s="79">
        <v>4</v>
      </c>
      <c r="D17" s="79">
        <f>25000-16100</f>
        <v>8900</v>
      </c>
      <c r="E17" s="79">
        <f>C17*D17</f>
        <v>35600</v>
      </c>
      <c r="F17" s="79">
        <f>22575/12</f>
        <v>1881.25</v>
      </c>
      <c r="G17" s="79">
        <f>E17/12</f>
        <v>2966.6666666666665</v>
      </c>
      <c r="H17" s="79">
        <f>E17+F17+G17</f>
        <v>40447.916666666664</v>
      </c>
      <c r="I17" s="73">
        <f>H17*15%</f>
        <v>6067.1874999999991</v>
      </c>
      <c r="J17" s="79">
        <f>280777/12</f>
        <v>23398.083333333332</v>
      </c>
      <c r="K17" s="79">
        <f>C17*(3662/12+3748/24)</f>
        <v>1845.3333333333335</v>
      </c>
      <c r="L17" s="79">
        <f>C17*2950/12</f>
        <v>983.33333333333337</v>
      </c>
      <c r="M17" s="79">
        <f>C44</f>
        <v>1200</v>
      </c>
      <c r="N17" s="79">
        <f>H17+I17+J17+K17+L17+M17</f>
        <v>73941.854166666657</v>
      </c>
      <c r="O17" s="79">
        <f>N17*95%*1%</f>
        <v>702.44761458333323</v>
      </c>
      <c r="P17" s="79">
        <f>(N17+O17)*10%</f>
        <v>7464.4301781249997</v>
      </c>
      <c r="Q17" s="80">
        <f>(N17+O17+P17)/B6</f>
        <v>2.562798489307462</v>
      </c>
      <c r="R17" s="80">
        <v>1.5</v>
      </c>
      <c r="S17" s="81">
        <f>Q17-R17</f>
        <v>1.062798489307462</v>
      </c>
      <c r="T17" s="82">
        <f>Q17/R17*100-100</f>
        <v>70.853232620497465</v>
      </c>
      <c r="U17" s="74"/>
      <c r="V17" s="74"/>
      <c r="W17" s="74"/>
      <c r="X17" s="74"/>
      <c r="Y17" s="74"/>
      <c r="Z17" s="74"/>
      <c r="AA17" s="74"/>
    </row>
    <row r="18" spans="1:27" s="75" customFormat="1" ht="14.45" customHeight="1" x14ac:dyDescent="0.2">
      <c r="A18" s="77" t="s">
        <v>30</v>
      </c>
      <c r="B18" s="79" t="s">
        <v>85</v>
      </c>
      <c r="C18" s="79">
        <f>12+4</f>
        <v>16</v>
      </c>
      <c r="D18" s="79">
        <v>16100</v>
      </c>
      <c r="E18" s="79">
        <f>C18*D18</f>
        <v>257600</v>
      </c>
      <c r="F18" s="79">
        <f>112700/12</f>
        <v>9391.6666666666661</v>
      </c>
      <c r="G18" s="79">
        <f>E18/12</f>
        <v>21466.666666666668</v>
      </c>
      <c r="H18" s="79">
        <f>E18+F18+G18</f>
        <v>288458.33333333337</v>
      </c>
      <c r="I18" s="73">
        <f>C18*13890*30.2%+(H18-13890*C18)*15%</f>
        <v>77049.23</v>
      </c>
      <c r="J18" s="79">
        <f>7000/12</f>
        <v>583.33333333333337</v>
      </c>
      <c r="K18" s="79">
        <f>C18*(3662/12+3748/24)</f>
        <v>7381.3333333333339</v>
      </c>
      <c r="L18" s="79"/>
      <c r="M18" s="79"/>
      <c r="N18" s="79">
        <f>H18+I18+J18+K18+L18+M18</f>
        <v>373472.23</v>
      </c>
      <c r="O18" s="79">
        <f>N18*95%*1%</f>
        <v>3547.9861849999998</v>
      </c>
      <c r="P18" s="79">
        <f>(N18+O18)*10%</f>
        <v>37702.021618499995</v>
      </c>
      <c r="Q18" s="80">
        <f>(N18+O18+P18)/B3</f>
        <v>13.816107304904172</v>
      </c>
      <c r="R18" s="80">
        <v>9.8800000000000008</v>
      </c>
      <c r="S18" s="81">
        <f>Q18-R18</f>
        <v>3.936107304904171</v>
      </c>
      <c r="T18" s="82">
        <f>Q18/R18*100-100</f>
        <v>39.839142762187976</v>
      </c>
      <c r="U18" s="74"/>
      <c r="V18" s="74"/>
      <c r="W18" s="74"/>
      <c r="X18" s="74"/>
      <c r="Y18" s="74"/>
      <c r="Z18" s="74"/>
      <c r="AA18" s="74"/>
    </row>
    <row r="19" spans="1:27" s="89" customFormat="1" ht="12" x14ac:dyDescent="0.2">
      <c r="A19" s="83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5"/>
      <c r="R19" s="85"/>
      <c r="S19" s="86"/>
      <c r="T19" s="87"/>
      <c r="U19" s="88"/>
      <c r="V19" s="88"/>
      <c r="W19" s="88"/>
      <c r="X19" s="88"/>
      <c r="Y19" s="88"/>
      <c r="Z19" s="88"/>
      <c r="AA19" s="88"/>
    </row>
    <row r="20" spans="1:27" s="91" customFormat="1" x14ac:dyDescent="0.25">
      <c r="A20" s="90"/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</row>
    <row r="21" spans="1:27" s="67" customFormat="1" ht="81.599999999999994" customHeight="1" x14ac:dyDescent="0.2">
      <c r="A21" s="61" t="s">
        <v>41</v>
      </c>
      <c r="B21" s="92" t="s">
        <v>65</v>
      </c>
      <c r="C21" s="63" t="s">
        <v>66</v>
      </c>
      <c r="D21" s="63" t="s">
        <v>67</v>
      </c>
      <c r="E21" s="63" t="s">
        <v>54</v>
      </c>
      <c r="F21" s="63" t="s">
        <v>55</v>
      </c>
      <c r="G21" s="63" t="s">
        <v>56</v>
      </c>
      <c r="H21" s="64" t="s">
        <v>57</v>
      </c>
      <c r="I21" s="64" t="s">
        <v>58</v>
      </c>
      <c r="J21" s="63" t="s">
        <v>59</v>
      </c>
      <c r="K21" s="65" t="s">
        <v>18</v>
      </c>
      <c r="M21" s="61" t="s">
        <v>21</v>
      </c>
      <c r="N21" s="92" t="s">
        <v>81</v>
      </c>
      <c r="O21" s="62" t="s">
        <v>82</v>
      </c>
      <c r="P21" s="114" t="s">
        <v>57</v>
      </c>
      <c r="Q21" s="114" t="s">
        <v>58</v>
      </c>
      <c r="R21" s="92" t="s">
        <v>83</v>
      </c>
      <c r="S21" s="115" t="s">
        <v>18</v>
      </c>
    </row>
    <row r="22" spans="1:27" s="67" customFormat="1" ht="12" x14ac:dyDescent="0.2">
      <c r="A22" s="68"/>
      <c r="B22" s="69"/>
      <c r="C22" s="69"/>
      <c r="D22" s="69"/>
      <c r="E22" s="69"/>
      <c r="F22" s="69"/>
      <c r="G22" s="69"/>
      <c r="H22" s="70"/>
      <c r="I22" s="70"/>
      <c r="J22" s="71"/>
      <c r="K22" s="72"/>
      <c r="M22" s="116" t="s">
        <v>84</v>
      </c>
      <c r="N22" s="69">
        <f>3.1*B3</f>
        <v>93053.63</v>
      </c>
      <c r="O22" s="69">
        <f>N22*O24/N24</f>
        <v>120873.31594413221</v>
      </c>
      <c r="P22" s="117">
        <f>O22/B3</f>
        <v>4.026788416817376</v>
      </c>
      <c r="Q22" s="117">
        <v>3.1</v>
      </c>
      <c r="R22" s="118">
        <f>P22-Q22</f>
        <v>0.92678841681737589</v>
      </c>
      <c r="S22" s="119">
        <f>P22/Q22*100-100</f>
        <v>29.896400542495996</v>
      </c>
    </row>
    <row r="23" spans="1:27" s="67" customFormat="1" ht="12" customHeight="1" x14ac:dyDescent="0.2">
      <c r="A23" s="93" t="s">
        <v>20</v>
      </c>
      <c r="B23" s="94">
        <f>4*40000</f>
        <v>160000</v>
      </c>
      <c r="C23" s="94"/>
      <c r="D23" s="94"/>
      <c r="E23" s="73">
        <f>B23+C23+D23</f>
        <v>160000</v>
      </c>
      <c r="F23" s="73">
        <f>E23*95%*1%</f>
        <v>1520</v>
      </c>
      <c r="G23" s="73">
        <f>(E23+F23)*10%</f>
        <v>16152</v>
      </c>
      <c r="H23" s="95">
        <f>(E23+F23+G23)/B3</f>
        <v>5.9189867176594833</v>
      </c>
      <c r="I23" s="95">
        <v>3.85</v>
      </c>
      <c r="J23" s="96">
        <f>H23-I23</f>
        <v>2.0689867176594832</v>
      </c>
      <c r="K23" s="97">
        <f>H23/I23*100-100</f>
        <v>53.739914744402171</v>
      </c>
      <c r="M23" s="120" t="s">
        <v>38</v>
      </c>
      <c r="N23" s="73">
        <f>5.42*B4</f>
        <v>10955.988000000001</v>
      </c>
      <c r="O23" s="73">
        <f>N23*O24/N24</f>
        <v>14231.434055867798</v>
      </c>
      <c r="P23" s="121">
        <f>O23/B4</f>
        <v>7.0403849094032838</v>
      </c>
      <c r="Q23" s="122">
        <v>5.42</v>
      </c>
      <c r="R23" s="123">
        <f>P23-Q23</f>
        <v>1.6203849094032838</v>
      </c>
      <c r="S23" s="124">
        <f>P23/Q23*100-100</f>
        <v>29.896400542495996</v>
      </c>
    </row>
    <row r="24" spans="1:27" s="67" customFormat="1" ht="12" customHeight="1" x14ac:dyDescent="0.2">
      <c r="A24" s="93"/>
      <c r="B24" s="94"/>
      <c r="C24" s="94"/>
      <c r="D24" s="94"/>
      <c r="E24" s="73"/>
      <c r="F24" s="73"/>
      <c r="G24" s="73"/>
      <c r="H24" s="95"/>
      <c r="I24" s="95"/>
      <c r="J24" s="96"/>
      <c r="K24" s="97"/>
      <c r="M24" s="125"/>
      <c r="N24" s="126">
        <f>SUM(N22:N23)</f>
        <v>104009.618</v>
      </c>
      <c r="O24" s="126">
        <f>E25+F25+G25</f>
        <v>135104.75</v>
      </c>
      <c r="P24" s="127"/>
      <c r="Q24" s="127"/>
      <c r="R24" s="128"/>
      <c r="S24" s="129"/>
    </row>
    <row r="25" spans="1:27" s="75" customFormat="1" ht="21.6" customHeight="1" x14ac:dyDescent="0.2">
      <c r="A25" s="93" t="s">
        <v>21</v>
      </c>
      <c r="B25" s="73">
        <f>2.5*40000</f>
        <v>100000</v>
      </c>
      <c r="C25" s="73">
        <f>145000/12</f>
        <v>12083.333333333334</v>
      </c>
      <c r="D25" s="73">
        <f>115000/12</f>
        <v>9583.3333333333339</v>
      </c>
      <c r="E25" s="73">
        <f>B25+C25+D25</f>
        <v>121666.66666666666</v>
      </c>
      <c r="F25" s="73">
        <f>E25*95%*1%</f>
        <v>1155.8333333333333</v>
      </c>
      <c r="G25" s="73">
        <f t="shared" ref="G25" si="4">(E25+F25)*10%</f>
        <v>12282.25</v>
      </c>
      <c r="H25" s="95"/>
      <c r="I25" s="95"/>
      <c r="J25" s="96"/>
      <c r="K25" s="97"/>
      <c r="N25" s="74"/>
      <c r="O25" s="74"/>
    </row>
    <row r="26" spans="1:27" s="89" customFormat="1" x14ac:dyDescent="0.25">
      <c r="A26" s="83"/>
      <c r="B26" s="84"/>
      <c r="C26" s="84"/>
      <c r="D26" s="84"/>
      <c r="E26" s="84"/>
      <c r="F26" s="84"/>
      <c r="G26" s="84"/>
      <c r="H26" s="85"/>
      <c r="I26" s="85"/>
      <c r="J26" s="86"/>
      <c r="K26" s="87"/>
      <c r="N26" s="90"/>
      <c r="O26" s="90"/>
      <c r="P26" s="90"/>
      <c r="Q26" s="88"/>
      <c r="R26" s="88"/>
      <c r="S26" s="88"/>
      <c r="T26" s="88"/>
      <c r="U26" s="88"/>
      <c r="V26" s="88"/>
      <c r="W26" s="88"/>
    </row>
    <row r="27" spans="1:27" s="91" customFormat="1" x14ac:dyDescent="0.25">
      <c r="A27" s="90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7" s="91" customFormat="1" x14ac:dyDescent="0.2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7" s="91" customFormat="1" ht="37.9" customHeight="1" x14ac:dyDescent="0.25">
      <c r="A29" s="231" t="s">
        <v>68</v>
      </c>
      <c r="B29" s="98" t="s">
        <v>41</v>
      </c>
      <c r="C29" s="99" t="s">
        <v>69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7" s="91" customFormat="1" ht="31.15" customHeight="1" x14ac:dyDescent="0.25">
      <c r="A30" s="231"/>
      <c r="B30" s="232" t="s">
        <v>60</v>
      </c>
      <c r="C30" s="233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100"/>
      <c r="O30" s="100"/>
      <c r="P30" s="100"/>
      <c r="Q30" s="100"/>
      <c r="R30" s="100"/>
      <c r="S30" s="100"/>
      <c r="T30" s="100"/>
      <c r="U30" s="90"/>
      <c r="V30" s="90"/>
      <c r="W30" s="90"/>
      <c r="X30" s="90"/>
      <c r="Y30" s="90"/>
      <c r="Z30" s="90"/>
      <c r="AA30" s="90"/>
    </row>
    <row r="31" spans="1:27" s="103" customFormat="1" ht="25.15" customHeight="1" x14ac:dyDescent="0.2">
      <c r="A31" s="231"/>
      <c r="B31" s="101" t="s">
        <v>70</v>
      </c>
      <c r="C31" s="102">
        <f>15300/12</f>
        <v>1275</v>
      </c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</row>
    <row r="32" spans="1:27" s="103" customFormat="1" ht="25.15" customHeight="1" x14ac:dyDescent="0.2">
      <c r="A32" s="231"/>
      <c r="B32" s="104" t="s">
        <v>71</v>
      </c>
      <c r="C32" s="105">
        <f>75840/12</f>
        <v>6320</v>
      </c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</row>
    <row r="33" spans="1:29" s="103" customFormat="1" ht="25.15" customHeight="1" x14ac:dyDescent="0.2">
      <c r="A33" s="231"/>
      <c r="B33" s="104" t="s">
        <v>72</v>
      </c>
      <c r="C33" s="105">
        <f>9000/12</f>
        <v>750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6"/>
      <c r="O33" s="106"/>
      <c r="P33" s="106"/>
      <c r="Q33" s="106"/>
      <c r="R33" s="106"/>
      <c r="S33" s="106"/>
      <c r="T33" s="106"/>
      <c r="U33" s="100"/>
      <c r="V33" s="100"/>
      <c r="W33" s="100"/>
      <c r="X33" s="100"/>
      <c r="Y33" s="100"/>
      <c r="Z33" s="100"/>
      <c r="AA33" s="100"/>
    </row>
    <row r="34" spans="1:29" s="107" customFormat="1" ht="24.6" customHeight="1" x14ac:dyDescent="0.2">
      <c r="A34" s="231"/>
      <c r="B34" s="104" t="s">
        <v>73</v>
      </c>
      <c r="C34" s="105">
        <f>96000/12</f>
        <v>8000</v>
      </c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1:29" s="107" customFormat="1" ht="48" x14ac:dyDescent="0.2">
      <c r="A35" s="231"/>
      <c r="B35" s="104" t="s">
        <v>74</v>
      </c>
      <c r="C35" s="105">
        <f>40000/12</f>
        <v>3333.3333333333335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</row>
    <row r="36" spans="1:29" s="107" customFormat="1" ht="36" x14ac:dyDescent="0.2">
      <c r="A36" s="231"/>
      <c r="B36" s="108" t="s">
        <v>75</v>
      </c>
      <c r="C36" s="109">
        <f>150000/36</f>
        <v>4166.666666666667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</row>
    <row r="37" spans="1:29" s="107" customFormat="1" ht="26.45" customHeight="1" x14ac:dyDescent="0.2">
      <c r="A37" s="231"/>
      <c r="B37" s="108" t="s">
        <v>76</v>
      </c>
      <c r="C37" s="109">
        <f>63000/12</f>
        <v>5250</v>
      </c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</row>
    <row r="38" spans="1:29" s="107" customFormat="1" ht="26.45" customHeight="1" x14ac:dyDescent="0.2">
      <c r="A38" s="231"/>
      <c r="B38" s="108" t="s">
        <v>80</v>
      </c>
      <c r="C38" s="109">
        <f>541200/12</f>
        <v>45100</v>
      </c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</row>
    <row r="39" spans="1:29" s="107" customFormat="1" ht="26.45" customHeight="1" x14ac:dyDescent="0.25">
      <c r="A39" s="231"/>
      <c r="B39" s="108" t="s">
        <v>77</v>
      </c>
      <c r="C39" s="109">
        <f>79050/12</f>
        <v>6587.5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52"/>
      <c r="O39" s="52"/>
      <c r="P39" s="52"/>
      <c r="Q39" s="52"/>
      <c r="R39" s="52"/>
      <c r="S39" s="52"/>
      <c r="T39" s="52"/>
      <c r="U39" s="106"/>
      <c r="V39" s="106"/>
      <c r="W39" s="106"/>
      <c r="X39" s="106"/>
      <c r="Y39" s="106"/>
      <c r="Z39" s="106"/>
      <c r="AA39" s="106"/>
    </row>
    <row r="40" spans="1:29" s="52" customFormat="1" ht="26.45" customHeight="1" x14ac:dyDescent="0.25">
      <c r="A40" s="231"/>
      <c r="B40" s="110" t="s">
        <v>78</v>
      </c>
      <c r="C40" s="111">
        <f>SUM(C31:C39)</f>
        <v>80782.5</v>
      </c>
      <c r="AB40" s="53"/>
      <c r="AC40" s="53"/>
    </row>
    <row r="41" spans="1:29" ht="12.6" customHeight="1" x14ac:dyDescent="0.25">
      <c r="A41" s="231"/>
      <c r="B41" s="112"/>
      <c r="C41" s="113"/>
    </row>
    <row r="42" spans="1:29" ht="26.45" customHeight="1" x14ac:dyDescent="0.25">
      <c r="A42" s="231"/>
      <c r="B42" s="232" t="s">
        <v>31</v>
      </c>
      <c r="C42" s="233"/>
    </row>
    <row r="43" spans="1:29" ht="26.45" customHeight="1" x14ac:dyDescent="0.25">
      <c r="A43" s="231"/>
      <c r="B43" s="104" t="s">
        <v>79</v>
      </c>
      <c r="C43" s="105">
        <v>1200</v>
      </c>
    </row>
    <row r="44" spans="1:29" ht="26.45" customHeight="1" x14ac:dyDescent="0.25">
      <c r="A44" s="231"/>
      <c r="B44" s="110" t="s">
        <v>78</v>
      </c>
      <c r="C44" s="111">
        <f>SUM(C43:C43)</f>
        <v>1200</v>
      </c>
    </row>
  </sheetData>
  <mergeCells count="14">
    <mergeCell ref="K11:K15"/>
    <mergeCell ref="M11:M15"/>
    <mergeCell ref="N11:N15"/>
    <mergeCell ref="O11:O15"/>
    <mergeCell ref="A29:A44"/>
    <mergeCell ref="B30:C30"/>
    <mergeCell ref="B42:C42"/>
    <mergeCell ref="A11:A15"/>
    <mergeCell ref="J11:J15"/>
    <mergeCell ref="P11:P15"/>
    <mergeCell ref="Q11:Q15"/>
    <mergeCell ref="R11:R15"/>
    <mergeCell ref="S11:S15"/>
    <mergeCell ref="T11:T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B10" sqref="B10"/>
    </sheetView>
  </sheetViews>
  <sheetFormatPr defaultColWidth="8.85546875" defaultRowHeight="15" x14ac:dyDescent="0.25"/>
  <cols>
    <col min="1" max="1" width="23.42578125" style="131" customWidth="1"/>
    <col min="2" max="2" width="26.42578125" style="131" customWidth="1"/>
    <col min="3" max="4" width="9" style="131" customWidth="1"/>
    <col min="5" max="5" width="10.5703125" style="131" customWidth="1"/>
    <col min="6" max="6" width="22.7109375" style="131" customWidth="1"/>
    <col min="7" max="10" width="14.42578125" style="131" customWidth="1"/>
    <col min="11" max="11" width="14.7109375" style="131" customWidth="1"/>
    <col min="12" max="12" width="11.42578125" style="131" customWidth="1"/>
    <col min="13" max="13" width="13.85546875" style="131" customWidth="1"/>
    <col min="14" max="14" width="13" style="131" bestFit="1" customWidth="1"/>
    <col min="15" max="16384" width="8.85546875" style="131"/>
  </cols>
  <sheetData>
    <row r="1" spans="1:14" x14ac:dyDescent="0.25">
      <c r="A1" s="130" t="s">
        <v>102</v>
      </c>
    </row>
    <row r="3" spans="1:14" s="133" customFormat="1" ht="12.75" x14ac:dyDescent="0.2">
      <c r="A3" s="132" t="s">
        <v>86</v>
      </c>
    </row>
    <row r="4" spans="1:14" s="133" customFormat="1" ht="25.5" x14ac:dyDescent="0.2">
      <c r="A4" s="133" t="s">
        <v>37</v>
      </c>
      <c r="B4" s="134">
        <v>30017.3</v>
      </c>
      <c r="C4" s="135"/>
      <c r="F4" s="136"/>
      <c r="G4" s="137" t="s">
        <v>87</v>
      </c>
      <c r="H4" s="138" t="s">
        <v>88</v>
      </c>
      <c r="I4" s="139" t="s">
        <v>89</v>
      </c>
      <c r="J4" s="140" t="s">
        <v>90</v>
      </c>
    </row>
    <row r="5" spans="1:14" s="133" customFormat="1" ht="12.75" x14ac:dyDescent="0.2">
      <c r="A5" s="133" t="s">
        <v>38</v>
      </c>
      <c r="B5" s="134">
        <v>2021.4</v>
      </c>
      <c r="C5" s="135"/>
      <c r="F5" s="141" t="s">
        <v>91</v>
      </c>
      <c r="G5" s="142">
        <v>4</v>
      </c>
      <c r="H5" s="143">
        <v>25</v>
      </c>
      <c r="I5" s="143">
        <v>1000</v>
      </c>
      <c r="J5" s="144">
        <v>1.6</v>
      </c>
    </row>
    <row r="6" spans="1:14" s="133" customFormat="1" ht="12.75" x14ac:dyDescent="0.2">
      <c r="A6" s="133" t="s">
        <v>92</v>
      </c>
      <c r="B6" s="134">
        <v>0</v>
      </c>
      <c r="C6" s="135"/>
      <c r="F6" s="167" t="s">
        <v>91</v>
      </c>
      <c r="G6" s="168">
        <v>2</v>
      </c>
      <c r="H6" s="171">
        <v>16</v>
      </c>
      <c r="I6" s="171">
        <v>1000</v>
      </c>
      <c r="J6" s="172">
        <v>1</v>
      </c>
    </row>
    <row r="7" spans="1:14" s="133" customFormat="1" ht="12.75" x14ac:dyDescent="0.2">
      <c r="B7" s="146">
        <f>SUM(B4:B6)</f>
        <v>32038.7</v>
      </c>
      <c r="F7" s="167" t="s">
        <v>93</v>
      </c>
      <c r="G7" s="168">
        <v>4</v>
      </c>
      <c r="H7" s="169">
        <v>25</v>
      </c>
      <c r="I7" s="169">
        <v>400</v>
      </c>
      <c r="J7" s="170">
        <v>1.6</v>
      </c>
    </row>
    <row r="8" spans="1:14" s="133" customFormat="1" ht="12.75" x14ac:dyDescent="0.2">
      <c r="F8" s="173" t="s">
        <v>93</v>
      </c>
      <c r="G8" s="145">
        <v>2</v>
      </c>
      <c r="H8" s="174">
        <v>16</v>
      </c>
      <c r="I8" s="174">
        <v>400</v>
      </c>
      <c r="J8" s="175">
        <v>1</v>
      </c>
    </row>
    <row r="9" spans="1:14" s="133" customFormat="1" ht="12.75" x14ac:dyDescent="0.2">
      <c r="B9" s="146"/>
    </row>
    <row r="10" spans="1:14" s="133" customFormat="1" x14ac:dyDescent="0.25">
      <c r="A10" s="133" t="s">
        <v>94</v>
      </c>
      <c r="B10" s="134">
        <v>2180.1</v>
      </c>
      <c r="F10" s="131"/>
      <c r="G10" s="131"/>
      <c r="H10" s="131"/>
      <c r="I10" s="131"/>
      <c r="J10" s="131"/>
    </row>
    <row r="11" spans="1:14" x14ac:dyDescent="0.25">
      <c r="F11" s="133"/>
      <c r="I11" s="147"/>
      <c r="J11" s="147"/>
    </row>
    <row r="12" spans="1:14" x14ac:dyDescent="0.25">
      <c r="A12" s="130" t="s">
        <v>103</v>
      </c>
      <c r="F12" s="147"/>
      <c r="G12" s="147"/>
      <c r="H12" s="147"/>
      <c r="I12" s="148"/>
      <c r="J12" s="149"/>
      <c r="K12" s="147"/>
      <c r="L12" s="147"/>
      <c r="M12" s="147"/>
      <c r="N12" s="147"/>
    </row>
    <row r="13" spans="1:14" s="147" customFormat="1" ht="12.75" x14ac:dyDescent="0.2">
      <c r="A13" s="239" t="s">
        <v>95</v>
      </c>
      <c r="B13" s="240"/>
      <c r="C13" s="240"/>
      <c r="D13" s="240"/>
      <c r="E13" s="150">
        <v>6017.79</v>
      </c>
    </row>
    <row r="14" spans="1:14" s="147" customFormat="1" ht="12.75" x14ac:dyDescent="0.2">
      <c r="A14" s="235" t="s">
        <v>96</v>
      </c>
      <c r="B14" s="236"/>
      <c r="C14" s="236"/>
      <c r="D14" s="236"/>
      <c r="E14" s="151">
        <v>4.4999999999999998E-2</v>
      </c>
      <c r="F14" s="149"/>
    </row>
    <row r="15" spans="1:14" s="147" customFormat="1" ht="12.75" x14ac:dyDescent="0.2">
      <c r="A15" s="235" t="s">
        <v>97</v>
      </c>
      <c r="B15" s="236"/>
      <c r="C15" s="236"/>
      <c r="D15" s="236"/>
      <c r="E15" s="151">
        <f>G5</f>
        <v>4</v>
      </c>
      <c r="F15" s="148"/>
    </row>
    <row r="16" spans="1:14" s="147" customFormat="1" ht="12.75" x14ac:dyDescent="0.2">
      <c r="A16" s="237" t="s">
        <v>98</v>
      </c>
      <c r="B16" s="238"/>
      <c r="C16" s="238"/>
      <c r="D16" s="238"/>
      <c r="E16" s="154">
        <f>H5</f>
        <v>25</v>
      </c>
      <c r="G16" s="152"/>
      <c r="H16" s="149"/>
      <c r="I16" s="153"/>
      <c r="J16" s="152"/>
    </row>
    <row r="17" spans="1:11" s="147" customFormat="1" ht="22.15" customHeight="1" x14ac:dyDescent="0.2">
      <c r="A17" s="155" t="s">
        <v>99</v>
      </c>
      <c r="B17" s="156"/>
      <c r="C17" s="156"/>
      <c r="D17" s="156"/>
      <c r="E17" s="157">
        <f>E13*(1+E14*(E16-2))*E15</f>
        <v>48984.810600000004</v>
      </c>
      <c r="G17" s="152"/>
      <c r="H17" s="149"/>
      <c r="I17" s="153"/>
      <c r="J17" s="152"/>
      <c r="K17" s="152"/>
    </row>
    <row r="18" spans="1:11" s="147" customFormat="1" ht="12.75" x14ac:dyDescent="0.2">
      <c r="B18" s="149"/>
      <c r="F18" s="158"/>
      <c r="G18" s="152"/>
      <c r="H18" s="149"/>
      <c r="I18" s="153"/>
      <c r="J18" s="152"/>
      <c r="K18" s="152"/>
    </row>
    <row r="19" spans="1:11" s="147" customFormat="1" ht="12.75" x14ac:dyDescent="0.2">
      <c r="B19" s="149"/>
      <c r="F19" s="153"/>
      <c r="G19" s="152"/>
      <c r="H19" s="149"/>
      <c r="I19" s="153"/>
      <c r="J19" s="152"/>
      <c r="K19" s="152"/>
    </row>
    <row r="20" spans="1:11" s="147" customFormat="1" x14ac:dyDescent="0.25">
      <c r="A20" s="130" t="s">
        <v>104</v>
      </c>
      <c r="B20" s="131"/>
      <c r="C20" s="131"/>
      <c r="D20" s="131"/>
      <c r="E20" s="131"/>
      <c r="F20" s="153"/>
      <c r="G20" s="152"/>
      <c r="H20" s="149"/>
      <c r="I20" s="153"/>
      <c r="J20" s="152"/>
      <c r="K20" s="152"/>
    </row>
    <row r="21" spans="1:11" s="147" customFormat="1" ht="12.75" x14ac:dyDescent="0.2">
      <c r="A21" s="239" t="s">
        <v>95</v>
      </c>
      <c r="B21" s="240"/>
      <c r="C21" s="240"/>
      <c r="D21" s="240"/>
      <c r="E21" s="150">
        <v>5814.9</v>
      </c>
      <c r="F21" s="153"/>
      <c r="G21" s="152"/>
      <c r="H21" s="149"/>
      <c r="I21" s="153"/>
      <c r="J21" s="152"/>
      <c r="K21" s="152"/>
    </row>
    <row r="22" spans="1:11" s="147" customFormat="1" ht="12.75" x14ac:dyDescent="0.2">
      <c r="A22" s="235" t="s">
        <v>96</v>
      </c>
      <c r="B22" s="236"/>
      <c r="C22" s="236"/>
      <c r="D22" s="236"/>
      <c r="E22" s="151">
        <v>4.5999999999999999E-2</v>
      </c>
      <c r="F22" s="153"/>
      <c r="G22" s="152"/>
      <c r="H22" s="149"/>
      <c r="I22" s="153"/>
      <c r="J22" s="152"/>
      <c r="K22" s="152"/>
    </row>
    <row r="23" spans="1:11" s="147" customFormat="1" ht="12.75" x14ac:dyDescent="0.2">
      <c r="A23" s="235" t="s">
        <v>97</v>
      </c>
      <c r="B23" s="236"/>
      <c r="C23" s="236"/>
      <c r="D23" s="236"/>
      <c r="E23" s="151">
        <f>G6</f>
        <v>2</v>
      </c>
      <c r="F23" s="153"/>
      <c r="K23" s="152"/>
    </row>
    <row r="24" spans="1:11" s="147" customFormat="1" ht="12.75" x14ac:dyDescent="0.2">
      <c r="A24" s="237" t="s">
        <v>98</v>
      </c>
      <c r="B24" s="238"/>
      <c r="C24" s="238"/>
      <c r="D24" s="238"/>
      <c r="E24" s="154">
        <f>H6</f>
        <v>16</v>
      </c>
      <c r="F24" s="153"/>
      <c r="G24" s="152"/>
      <c r="H24" s="149"/>
      <c r="I24" s="153"/>
      <c r="J24" s="152"/>
    </row>
    <row r="25" spans="1:11" s="147" customFormat="1" ht="22.15" customHeight="1" x14ac:dyDescent="0.2">
      <c r="A25" s="155" t="s">
        <v>99</v>
      </c>
      <c r="B25" s="156"/>
      <c r="C25" s="156"/>
      <c r="D25" s="156"/>
      <c r="E25" s="157">
        <f>E21*(1+E22*(E24-2))*E23</f>
        <v>19119.391200000002</v>
      </c>
      <c r="F25" s="153"/>
      <c r="G25" s="152"/>
      <c r="H25" s="149"/>
      <c r="I25" s="153"/>
      <c r="J25" s="152"/>
      <c r="K25" s="152"/>
    </row>
    <row r="26" spans="1:11" s="147" customFormat="1" ht="12.75" x14ac:dyDescent="0.2">
      <c r="B26" s="149"/>
      <c r="F26" s="153"/>
      <c r="G26" s="152"/>
      <c r="H26" s="149"/>
      <c r="I26" s="153"/>
      <c r="J26" s="152"/>
      <c r="K26" s="152"/>
    </row>
    <row r="27" spans="1:11" s="147" customFormat="1" ht="12.75" x14ac:dyDescent="0.2">
      <c r="F27" s="153"/>
    </row>
    <row r="28" spans="1:11" s="147" customFormat="1" ht="14.25" x14ac:dyDescent="0.2">
      <c r="A28" s="130" t="s">
        <v>105</v>
      </c>
      <c r="I28" s="148"/>
    </row>
    <row r="29" spans="1:11" s="147" customFormat="1" ht="12.75" x14ac:dyDescent="0.2">
      <c r="A29" s="239" t="s">
        <v>95</v>
      </c>
      <c r="B29" s="240"/>
      <c r="C29" s="240"/>
      <c r="D29" s="240"/>
      <c r="E29" s="150">
        <v>6017.79</v>
      </c>
    </row>
    <row r="30" spans="1:11" s="147" customFormat="1" ht="12.75" x14ac:dyDescent="0.2">
      <c r="A30" s="235" t="s">
        <v>96</v>
      </c>
      <c r="B30" s="236"/>
      <c r="C30" s="236"/>
      <c r="D30" s="236"/>
      <c r="E30" s="151">
        <v>4.4999999999999998E-2</v>
      </c>
      <c r="F30" s="149"/>
    </row>
    <row r="31" spans="1:11" s="147" customFormat="1" ht="12.75" x14ac:dyDescent="0.2">
      <c r="A31" s="235" t="s">
        <v>97</v>
      </c>
      <c r="B31" s="236"/>
      <c r="C31" s="236"/>
      <c r="D31" s="236"/>
      <c r="E31" s="151">
        <f>G7</f>
        <v>4</v>
      </c>
      <c r="F31" s="148"/>
    </row>
    <row r="32" spans="1:11" s="147" customFormat="1" ht="12.75" x14ac:dyDescent="0.2">
      <c r="A32" s="237" t="s">
        <v>98</v>
      </c>
      <c r="B32" s="238"/>
      <c r="C32" s="238"/>
      <c r="D32" s="238"/>
      <c r="E32" s="154">
        <f>H7</f>
        <v>25</v>
      </c>
    </row>
    <row r="33" spans="1:13" s="147" customFormat="1" ht="22.15" customHeight="1" x14ac:dyDescent="0.2">
      <c r="A33" s="155" t="s">
        <v>99</v>
      </c>
      <c r="B33" s="156"/>
      <c r="C33" s="156"/>
      <c r="D33" s="156"/>
      <c r="E33" s="157">
        <f>E29*(1+E30*(E32-2))*E31</f>
        <v>48984.810600000004</v>
      </c>
    </row>
    <row r="34" spans="1:13" s="147" customFormat="1" ht="12.75" x14ac:dyDescent="0.2">
      <c r="F34" s="158"/>
    </row>
    <row r="35" spans="1:13" s="147" customFormat="1" ht="12.75" x14ac:dyDescent="0.2">
      <c r="F35" s="153"/>
    </row>
    <row r="36" spans="1:13" s="147" customFormat="1" ht="14.25" x14ac:dyDescent="0.2">
      <c r="A36" s="130" t="s">
        <v>106</v>
      </c>
      <c r="I36" s="148"/>
    </row>
    <row r="37" spans="1:13" s="147" customFormat="1" ht="12.75" x14ac:dyDescent="0.2">
      <c r="A37" s="239" t="s">
        <v>95</v>
      </c>
      <c r="B37" s="240"/>
      <c r="C37" s="240"/>
      <c r="D37" s="240"/>
      <c r="E37" s="150">
        <v>5756.68</v>
      </c>
    </row>
    <row r="38" spans="1:13" s="147" customFormat="1" ht="12.75" x14ac:dyDescent="0.2">
      <c r="A38" s="235" t="s">
        <v>96</v>
      </c>
      <c r="B38" s="236"/>
      <c r="C38" s="236"/>
      <c r="D38" s="236"/>
      <c r="E38" s="151">
        <v>4.7E-2</v>
      </c>
      <c r="F38" s="149"/>
    </row>
    <row r="39" spans="1:13" s="147" customFormat="1" ht="12.75" x14ac:dyDescent="0.2">
      <c r="A39" s="235" t="s">
        <v>97</v>
      </c>
      <c r="B39" s="236"/>
      <c r="C39" s="236"/>
      <c r="D39" s="236"/>
      <c r="E39" s="151">
        <f>G8</f>
        <v>2</v>
      </c>
      <c r="F39" s="148"/>
    </row>
    <row r="40" spans="1:13" s="147" customFormat="1" ht="12.75" x14ac:dyDescent="0.2">
      <c r="A40" s="237" t="s">
        <v>98</v>
      </c>
      <c r="B40" s="238"/>
      <c r="C40" s="238"/>
      <c r="D40" s="238"/>
      <c r="E40" s="154">
        <f>H8</f>
        <v>16</v>
      </c>
    </row>
    <row r="41" spans="1:13" s="147" customFormat="1" ht="20.45" customHeight="1" x14ac:dyDescent="0.2">
      <c r="A41" s="155" t="s">
        <v>99</v>
      </c>
      <c r="B41" s="156"/>
      <c r="C41" s="156"/>
      <c r="D41" s="156"/>
      <c r="E41" s="157">
        <f>E37*(1+E38*(E40-2))*E39</f>
        <v>19089.150880000001</v>
      </c>
    </row>
    <row r="42" spans="1:13" s="147" customFormat="1" ht="12.75" x14ac:dyDescent="0.2"/>
    <row r="43" spans="1:13" x14ac:dyDescent="0.25">
      <c r="F43" s="153"/>
      <c r="G43" s="133"/>
      <c r="H43" s="133"/>
      <c r="I43" s="133"/>
      <c r="J43" s="133"/>
    </row>
    <row r="44" spans="1:13" s="133" customFormat="1" ht="12.75" x14ac:dyDescent="0.2">
      <c r="A44" s="160" t="s">
        <v>100</v>
      </c>
      <c r="B44" s="161"/>
      <c r="C44" s="161"/>
      <c r="D44" s="161"/>
      <c r="E44" s="146">
        <f>E17+E25+E33+E41</f>
        <v>136178.16328000001</v>
      </c>
      <c r="F44" s="147"/>
      <c r="G44" s="152"/>
      <c r="H44" s="159"/>
      <c r="I44" s="159"/>
      <c r="J44" s="152"/>
    </row>
    <row r="45" spans="1:13" s="159" customFormat="1" ht="12.75" x14ac:dyDescent="0.2">
      <c r="A45" s="163"/>
      <c r="B45" s="148"/>
      <c r="C45" s="164"/>
      <c r="E45" s="147"/>
      <c r="F45" s="133"/>
      <c r="G45" s="162"/>
      <c r="H45" s="148"/>
      <c r="I45" s="148"/>
      <c r="J45" s="162"/>
      <c r="K45" s="152"/>
    </row>
    <row r="46" spans="1:13" s="166" customFormat="1" x14ac:dyDescent="0.25">
      <c r="A46" s="165" t="s">
        <v>101</v>
      </c>
      <c r="E46" s="148">
        <f>E44/(B4+B5-B10)</f>
        <v>4.5607685316793152</v>
      </c>
      <c r="F46" s="131"/>
      <c r="G46" s="131"/>
      <c r="H46" s="131"/>
      <c r="I46" s="131"/>
      <c r="J46" s="131"/>
      <c r="K46" s="162"/>
      <c r="M46" s="148"/>
    </row>
    <row r="47" spans="1:13" x14ac:dyDescent="0.25">
      <c r="F47" s="159"/>
    </row>
    <row r="48" spans="1:13" x14ac:dyDescent="0.25">
      <c r="F48" s="148"/>
    </row>
  </sheetData>
  <mergeCells count="16">
    <mergeCell ref="A23:D23"/>
    <mergeCell ref="A24:D24"/>
    <mergeCell ref="A13:D13"/>
    <mergeCell ref="A14:D14"/>
    <mergeCell ref="A15:D15"/>
    <mergeCell ref="A16:D16"/>
    <mergeCell ref="A21:D21"/>
    <mergeCell ref="A22:D22"/>
    <mergeCell ref="A39:D39"/>
    <mergeCell ref="A40:D40"/>
    <mergeCell ref="A29:D29"/>
    <mergeCell ref="A30:D30"/>
    <mergeCell ref="A31:D31"/>
    <mergeCell ref="A32:D32"/>
    <mergeCell ref="A37:D37"/>
    <mergeCell ref="A38:D3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"/>
  <sheetViews>
    <sheetView zoomScale="90" zoomScaleNormal="90" workbookViewId="0">
      <pane xSplit="1" ySplit="11" topLeftCell="B12" activePane="bottomRight" state="frozen"/>
      <selection pane="topRight" activeCell="B1" sqref="B1"/>
      <selection pane="bottomLeft" activeCell="A3" sqref="A3"/>
      <selection pane="bottomRight" activeCell="E20" sqref="E20"/>
    </sheetView>
  </sheetViews>
  <sheetFormatPr defaultColWidth="8.85546875" defaultRowHeight="15" x14ac:dyDescent="0.25"/>
  <cols>
    <col min="1" max="1" width="25.7109375" style="177" customWidth="1"/>
    <col min="2" max="2" width="17.7109375" style="177" customWidth="1"/>
    <col min="3" max="3" width="16.28515625" style="177" customWidth="1"/>
    <col min="4" max="4" width="18.42578125" style="177" customWidth="1"/>
    <col min="5" max="5" width="15.28515625" style="177" customWidth="1"/>
    <col min="6" max="10" width="15.42578125" style="177" customWidth="1"/>
    <col min="11" max="12" width="15.28515625" style="177" customWidth="1"/>
    <col min="13" max="13" width="8.85546875" style="177"/>
    <col min="14" max="14" width="11.85546875" style="177" customWidth="1"/>
    <col min="15" max="16384" width="8.85546875" style="177"/>
  </cols>
  <sheetData>
    <row r="2" spans="1:14" x14ac:dyDescent="0.25">
      <c r="A2" s="132" t="s">
        <v>86</v>
      </c>
      <c r="B2" s="133"/>
    </row>
    <row r="3" spans="1:14" x14ac:dyDescent="0.25">
      <c r="A3" s="133" t="s">
        <v>37</v>
      </c>
      <c r="B3" s="134">
        <v>30017.3</v>
      </c>
    </row>
    <row r="4" spans="1:14" x14ac:dyDescent="0.25">
      <c r="A4" s="133" t="s">
        <v>38</v>
      </c>
      <c r="B4" s="134">
        <v>2021.4</v>
      </c>
    </row>
    <row r="5" spans="1:14" x14ac:dyDescent="0.25">
      <c r="A5" s="133" t="s">
        <v>92</v>
      </c>
      <c r="B5" s="134">
        <v>0</v>
      </c>
    </row>
    <row r="6" spans="1:14" x14ac:dyDescent="0.25">
      <c r="A6" s="133"/>
      <c r="B6" s="146">
        <f>SUM(B3:B5)</f>
        <v>32038.7</v>
      </c>
    </row>
    <row r="8" spans="1:14" x14ac:dyDescent="0.25">
      <c r="A8" s="133" t="s">
        <v>94</v>
      </c>
      <c r="B8" s="134">
        <v>2180.1</v>
      </c>
    </row>
    <row r="10" spans="1:14" s="178" customFormat="1" ht="34.9" customHeight="1" x14ac:dyDescent="0.2">
      <c r="A10" s="241" t="s">
        <v>107</v>
      </c>
      <c r="B10" s="243" t="s">
        <v>108</v>
      </c>
      <c r="C10" s="243" t="s">
        <v>109</v>
      </c>
      <c r="D10" s="249" t="s">
        <v>82</v>
      </c>
      <c r="E10" s="245"/>
      <c r="F10" s="245"/>
      <c r="G10" s="250" t="s">
        <v>55</v>
      </c>
      <c r="H10" s="252" t="s">
        <v>56</v>
      </c>
      <c r="I10" s="254" t="s">
        <v>110</v>
      </c>
      <c r="J10" s="252" t="s">
        <v>58</v>
      </c>
      <c r="K10" s="245" t="s">
        <v>59</v>
      </c>
      <c r="L10" s="247" t="s">
        <v>18</v>
      </c>
    </row>
    <row r="11" spans="1:14" s="178" customFormat="1" ht="24.6" customHeight="1" x14ac:dyDescent="0.2">
      <c r="A11" s="242"/>
      <c r="B11" s="244"/>
      <c r="C11" s="244"/>
      <c r="D11" s="180" t="s">
        <v>113</v>
      </c>
      <c r="E11" s="179" t="s">
        <v>111</v>
      </c>
      <c r="F11" s="179" t="s">
        <v>112</v>
      </c>
      <c r="G11" s="251"/>
      <c r="H11" s="253"/>
      <c r="I11" s="255"/>
      <c r="J11" s="253"/>
      <c r="K11" s="246"/>
      <c r="L11" s="248"/>
    </row>
    <row r="12" spans="1:14" s="185" customFormat="1" ht="12.75" x14ac:dyDescent="0.2">
      <c r="A12" s="181"/>
      <c r="B12" s="182"/>
      <c r="C12" s="182"/>
      <c r="D12" s="186"/>
      <c r="E12" s="183"/>
      <c r="F12" s="183"/>
      <c r="G12" s="187"/>
      <c r="H12" s="188"/>
      <c r="I12" s="189"/>
      <c r="J12" s="188"/>
      <c r="K12" s="183"/>
      <c r="L12" s="184"/>
    </row>
    <row r="13" spans="1:14" s="185" customFormat="1" ht="12.75" x14ac:dyDescent="0.2">
      <c r="A13" s="190" t="s">
        <v>114</v>
      </c>
      <c r="B13" s="191" t="s">
        <v>115</v>
      </c>
      <c r="C13" s="191">
        <v>12</v>
      </c>
      <c r="D13" s="194">
        <f>C13*5500</f>
        <v>66000</v>
      </c>
      <c r="E13" s="192">
        <f>50000/12</f>
        <v>4166.666666666667</v>
      </c>
      <c r="F13" s="192">
        <f>3600/12</f>
        <v>300</v>
      </c>
      <c r="G13" s="195">
        <f>(D13+E13+F13)*95%*1%</f>
        <v>669.43333333333328</v>
      </c>
      <c r="H13" s="196">
        <f>(D13+E13+F13+G13)*10%</f>
        <v>7113.6100000000006</v>
      </c>
      <c r="I13" s="197">
        <f>(D13+E13+F13+G13+H13)/(B3+B4-B8)</f>
        <v>2.6206757852009135</v>
      </c>
      <c r="J13" s="198">
        <v>2.38</v>
      </c>
      <c r="K13" s="199">
        <f>I13-J13</f>
        <v>0.24067578520091359</v>
      </c>
      <c r="L13" s="193">
        <f>I13/J13*100-100</f>
        <v>10.112427949618223</v>
      </c>
      <c r="N13" s="200"/>
    </row>
    <row r="14" spans="1:14" s="185" customFormat="1" ht="12.75" x14ac:dyDescent="0.2">
      <c r="A14" s="201"/>
      <c r="B14" s="202"/>
      <c r="C14" s="202"/>
      <c r="D14" s="205"/>
      <c r="E14" s="203"/>
      <c r="F14" s="203"/>
      <c r="G14" s="206"/>
      <c r="H14" s="207"/>
      <c r="I14" s="208"/>
      <c r="J14" s="207"/>
      <c r="K14" s="203"/>
      <c r="L14" s="204"/>
    </row>
  </sheetData>
  <mergeCells count="10">
    <mergeCell ref="A10:A11"/>
    <mergeCell ref="B10:B11"/>
    <mergeCell ref="C10:C11"/>
    <mergeCell ref="K10:K11"/>
    <mergeCell ref="L10:L11"/>
    <mergeCell ref="D10:F10"/>
    <mergeCell ref="G10:G11"/>
    <mergeCell ref="H10:H11"/>
    <mergeCell ref="I10:I11"/>
    <mergeCell ref="J10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Тарифы для ОСС_жилье</vt:lpstr>
      <vt:lpstr>Тарифы для ОСС_нежилье</vt:lpstr>
      <vt:lpstr>Разъяснения</vt:lpstr>
      <vt:lpstr>Лифты_формула</vt:lpstr>
      <vt:lpstr>Лифты_расходы</vt:lpstr>
      <vt:lpstr>'Тарифы для ОСС_жилье'!Область_печати</vt:lpstr>
      <vt:lpstr>'Тарифы для ОСС_нежилье'!Область_печати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user</cp:lastModifiedBy>
  <cp:lastPrinted>2022-10-20T12:28:34Z</cp:lastPrinted>
  <dcterms:created xsi:type="dcterms:W3CDTF">2022-06-08T12:34:15Z</dcterms:created>
  <dcterms:modified xsi:type="dcterms:W3CDTF">2022-10-20T12:29:12Z</dcterms:modified>
</cp:coreProperties>
</file>